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and\Dropbox\PhD\Experiments\3rd Year\Label-free_QconCAT\Manuscript\Data_analysis\Submission\Ms versions\Submitted files\"/>
    </mc:Choice>
  </mc:AlternateContent>
  <xr:revisionPtr revIDLastSave="0" documentId="13_ncr:1_{9F679194-725B-4DCA-A4CA-061B05700B6C}" xr6:coauthVersionLast="43" xr6:coauthVersionMax="43" xr10:uidLastSave="{00000000-0000-0000-0000-000000000000}"/>
  <bookViews>
    <workbookView xWindow="-120" yWindow="-120" windowWidth="20730" windowHeight="11160" tabRatio="788" xr2:uid="{00000000-000D-0000-FFFF-FFFF00000000}"/>
  </bookViews>
  <sheets>
    <sheet name="Met-free sequences" sheetId="5" r:id="rId1"/>
    <sheet name="Met-containing sequences" sheetId="4" r:id="rId2"/>
    <sheet name="Peptide statistics" sheetId="6" r:id="rId3"/>
    <sheet name="Protein statistics" sheetId="11" r:id="rId4"/>
    <sheet name="Copies per cell" sheetId="10" r:id="rId5"/>
    <sheet name="Transitions" sheetId="8" state="hidden" r:id="rId6"/>
    <sheet name="missed cleavage MEG8.2" sheetId="9" state="hidden" r:id="rId7"/>
  </sheets>
  <definedNames>
    <definedName name="_xlnm._FilterDatabase" localSheetId="1" hidden="1">'Met-containing sequences'!$A$1:$U$1</definedName>
    <definedName name="_xlnm._FilterDatabase" localSheetId="0" hidden="1">'Met-free sequences'!$A$1:$V$217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6" l="1"/>
  <c r="E6" i="10" l="1"/>
  <c r="G16" i="6" l="1"/>
  <c r="G15" i="6"/>
  <c r="G14" i="6"/>
  <c r="G11" i="6"/>
  <c r="C2" i="10"/>
  <c r="D2" i="10" s="1"/>
  <c r="C14" i="10" l="1"/>
  <c r="C3" i="10"/>
  <c r="D3" i="10" s="1"/>
  <c r="C4" i="10"/>
  <c r="D4" i="10" s="1"/>
  <c r="C5" i="10"/>
  <c r="D5" i="10" s="1"/>
  <c r="C6" i="10"/>
  <c r="D6" i="10" s="1"/>
  <c r="C7" i="10"/>
  <c r="D7" i="10" s="1"/>
  <c r="C8" i="10"/>
  <c r="C9" i="10"/>
  <c r="D9" i="10" s="1"/>
  <c r="C10" i="10"/>
  <c r="D10" i="10" s="1"/>
  <c r="C11" i="10"/>
  <c r="D11" i="10" s="1"/>
  <c r="C15" i="10"/>
  <c r="E2" i="10" s="1"/>
  <c r="E9" i="10" l="1"/>
  <c r="E5" i="10"/>
  <c r="E10" i="10"/>
  <c r="E11" i="10"/>
  <c r="E4" i="10"/>
  <c r="E7" i="10"/>
  <c r="D8" i="10"/>
  <c r="E8" i="10" s="1"/>
  <c r="E3" i="10"/>
  <c r="J5" i="9" l="1"/>
  <c r="I5" i="9"/>
  <c r="H5" i="9"/>
  <c r="G5" i="9"/>
  <c r="E5" i="9"/>
  <c r="B10" i="9" s="1"/>
  <c r="D5" i="9"/>
  <c r="B9" i="9" s="1"/>
  <c r="C5" i="9"/>
  <c r="B8" i="9" s="1"/>
  <c r="B5" i="9"/>
  <c r="B7" i="9" s="1"/>
  <c r="G4" i="6" l="1"/>
  <c r="G3" i="6"/>
  <c r="G2" i="6"/>
  <c r="G5" i="6"/>
  <c r="G8" i="6"/>
  <c r="G7" i="6"/>
  <c r="G10" i="6"/>
  <c r="G12" i="6"/>
  <c r="G22" i="6"/>
  <c r="G21" i="6"/>
  <c r="G13" i="6"/>
  <c r="G20" i="6"/>
  <c r="G6" i="6"/>
  <c r="G19" i="6"/>
  <c r="G17" i="6"/>
  <c r="I193" i="5" l="1"/>
  <c r="K193" i="5" s="1"/>
  <c r="M193" i="5" s="1"/>
  <c r="I192" i="5"/>
  <c r="K192" i="5" s="1"/>
  <c r="M192" i="5" s="1"/>
  <c r="I191" i="5"/>
  <c r="K191" i="5" s="1"/>
  <c r="M191" i="5" s="1"/>
  <c r="I190" i="5"/>
  <c r="K190" i="5" s="1"/>
  <c r="M190" i="5" s="1"/>
  <c r="I189" i="5"/>
  <c r="K189" i="5" s="1"/>
  <c r="M189" i="5" s="1"/>
  <c r="I188" i="5"/>
  <c r="K188" i="5" s="1"/>
  <c r="M188" i="5" s="1"/>
  <c r="I187" i="5"/>
  <c r="K187" i="5" s="1"/>
  <c r="M187" i="5" s="1"/>
  <c r="I186" i="5"/>
  <c r="K186" i="5" s="1"/>
  <c r="M186" i="5" s="1"/>
  <c r="I185" i="5"/>
  <c r="K185" i="5" s="1"/>
  <c r="M185" i="5" s="1"/>
  <c r="I184" i="5"/>
  <c r="K184" i="5" s="1"/>
  <c r="M184" i="5" s="1"/>
  <c r="I183" i="5"/>
  <c r="K183" i="5" s="1"/>
  <c r="M183" i="5" s="1"/>
  <c r="I182" i="5"/>
  <c r="K182" i="5" s="1"/>
  <c r="M182" i="5" s="1"/>
  <c r="I145" i="5"/>
  <c r="K145" i="5" s="1"/>
  <c r="M145" i="5" s="1"/>
  <c r="I144" i="5"/>
  <c r="K144" i="5" s="1"/>
  <c r="M144" i="5" s="1"/>
  <c r="I143" i="5"/>
  <c r="K143" i="5" s="1"/>
  <c r="M143" i="5" s="1"/>
  <c r="I142" i="5"/>
  <c r="K142" i="5" s="1"/>
  <c r="M142" i="5" s="1"/>
  <c r="I141" i="5"/>
  <c r="K141" i="5" s="1"/>
  <c r="M141" i="5" s="1"/>
  <c r="I140" i="5"/>
  <c r="K140" i="5" s="1"/>
  <c r="M140" i="5" s="1"/>
  <c r="I139" i="5"/>
  <c r="K139" i="5" s="1"/>
  <c r="M139" i="5" s="1"/>
  <c r="I138" i="5"/>
  <c r="K138" i="5" s="1"/>
  <c r="M138" i="5" s="1"/>
  <c r="I137" i="5"/>
  <c r="K137" i="5" s="1"/>
  <c r="M137" i="5" s="1"/>
  <c r="I136" i="5"/>
  <c r="K136" i="5" s="1"/>
  <c r="M136" i="5" s="1"/>
  <c r="I135" i="5"/>
  <c r="K135" i="5" s="1"/>
  <c r="M135" i="5" s="1"/>
  <c r="I134" i="5"/>
  <c r="K134" i="5" s="1"/>
  <c r="M134" i="5" s="1"/>
  <c r="I70" i="5" l="1"/>
  <c r="K70" i="5" s="1"/>
  <c r="M70" i="5" s="1"/>
  <c r="I78" i="5"/>
  <c r="K78" i="5" s="1"/>
  <c r="M78" i="5" s="1"/>
  <c r="I66" i="5"/>
  <c r="K66" i="5" s="1"/>
  <c r="M66" i="5" s="1"/>
  <c r="I74" i="5"/>
  <c r="K74" i="5" s="1"/>
  <c r="M74" i="5" s="1"/>
  <c r="I62" i="5"/>
  <c r="K62" i="5" s="1"/>
  <c r="M62" i="5" s="1"/>
  <c r="I83" i="5"/>
  <c r="K83" i="5" s="1"/>
  <c r="M83" i="5" s="1"/>
  <c r="I71" i="5"/>
  <c r="K71" i="5" s="1"/>
  <c r="M71" i="5" s="1"/>
  <c r="I79" i="5"/>
  <c r="K79" i="5" s="1"/>
  <c r="M79" i="5" s="1"/>
  <c r="I67" i="5"/>
  <c r="K67" i="5" s="1"/>
  <c r="M67" i="5" s="1"/>
  <c r="I75" i="5"/>
  <c r="K75" i="5" s="1"/>
  <c r="M75" i="5" s="1"/>
  <c r="I63" i="5"/>
  <c r="K63" i="5" s="1"/>
  <c r="M63" i="5" s="1"/>
  <c r="I84" i="5"/>
  <c r="K84" i="5" s="1"/>
  <c r="M84" i="5" s="1"/>
  <c r="I72" i="5"/>
  <c r="K72" i="5" s="1"/>
  <c r="M72" i="5" s="1"/>
  <c r="I80" i="5"/>
  <c r="K80" i="5" s="1"/>
  <c r="M80" i="5" s="1"/>
  <c r="I68" i="5"/>
  <c r="K68" i="5" s="1"/>
  <c r="M68" i="5" s="1"/>
  <c r="I76" i="5"/>
  <c r="K76" i="5" s="1"/>
  <c r="M76" i="5" s="1"/>
  <c r="I64" i="5"/>
  <c r="K64" i="5" s="1"/>
  <c r="M64" i="5" s="1"/>
  <c r="I85" i="5"/>
  <c r="K85" i="5" s="1"/>
  <c r="M85" i="5" s="1"/>
  <c r="I73" i="5"/>
  <c r="K73" i="5" s="1"/>
  <c r="M73" i="5" s="1"/>
  <c r="I81" i="5"/>
  <c r="K81" i="5" s="1"/>
  <c r="M81" i="5" s="1"/>
  <c r="I69" i="5"/>
  <c r="K69" i="5" s="1"/>
  <c r="M69" i="5" s="1"/>
  <c r="I77" i="5"/>
  <c r="K77" i="5" s="1"/>
  <c r="M77" i="5" s="1"/>
  <c r="I65" i="5"/>
  <c r="K65" i="5" s="1"/>
  <c r="M65" i="5" s="1"/>
  <c r="I82" i="5"/>
  <c r="K82" i="5" s="1"/>
  <c r="M82" i="5" s="1"/>
  <c r="I208" i="5"/>
  <c r="I41" i="5" l="1"/>
  <c r="K41" i="5" s="1"/>
  <c r="M41" i="5" s="1"/>
  <c r="I209" i="5"/>
  <c r="K209" i="5" s="1"/>
  <c r="M209" i="5" s="1"/>
  <c r="I173" i="5"/>
  <c r="K173" i="5" s="1"/>
  <c r="M173" i="5" s="1"/>
  <c r="I125" i="5"/>
  <c r="K125" i="5" s="1"/>
  <c r="M125" i="5" s="1"/>
  <c r="I101" i="5"/>
  <c r="K101" i="5" s="1"/>
  <c r="M101" i="5" s="1"/>
  <c r="I53" i="5"/>
  <c r="K53" i="5" s="1"/>
  <c r="M53" i="5" s="1"/>
  <c r="I17" i="5"/>
  <c r="K17" i="5" s="1"/>
  <c r="M17" i="5" s="1"/>
  <c r="I197" i="5"/>
  <c r="K197" i="5" s="1"/>
  <c r="M197" i="5" s="1"/>
  <c r="I161" i="5"/>
  <c r="K161" i="5" s="1"/>
  <c r="M161" i="5" s="1"/>
  <c r="I149" i="5"/>
  <c r="K149" i="5" s="1"/>
  <c r="M149" i="5" s="1"/>
  <c r="I89" i="5"/>
  <c r="K89" i="5" s="1"/>
  <c r="M89" i="5" s="1"/>
  <c r="I113" i="5"/>
  <c r="K113" i="5" s="1"/>
  <c r="M113" i="5" s="1"/>
  <c r="I29" i="5"/>
  <c r="K29" i="5" s="1"/>
  <c r="M29" i="5" s="1"/>
  <c r="I5" i="5"/>
  <c r="K5" i="5" s="1"/>
  <c r="M5" i="5" s="1"/>
  <c r="I45" i="5"/>
  <c r="K45" i="5" s="1"/>
  <c r="M45" i="5" s="1"/>
  <c r="I213" i="5"/>
  <c r="K213" i="5" s="1"/>
  <c r="M213" i="5" s="1"/>
  <c r="I177" i="5"/>
  <c r="K177" i="5" s="1"/>
  <c r="M177" i="5" s="1"/>
  <c r="I129" i="5"/>
  <c r="K129" i="5" s="1"/>
  <c r="M129" i="5" s="1"/>
  <c r="I105" i="5"/>
  <c r="K105" i="5" s="1"/>
  <c r="M105" i="5" s="1"/>
  <c r="I57" i="5"/>
  <c r="K57" i="5" s="1"/>
  <c r="M57" i="5" s="1"/>
  <c r="I21" i="5"/>
  <c r="K21" i="5" s="1"/>
  <c r="M21" i="5" s="1"/>
  <c r="I201" i="5"/>
  <c r="K201" i="5" s="1"/>
  <c r="M201" i="5" s="1"/>
  <c r="I165" i="5"/>
  <c r="K165" i="5" s="1"/>
  <c r="M165" i="5" s="1"/>
  <c r="I153" i="5"/>
  <c r="K153" i="5" s="1"/>
  <c r="M153" i="5" s="1"/>
  <c r="I93" i="5"/>
  <c r="K93" i="5" s="1"/>
  <c r="M93" i="5" s="1"/>
  <c r="I117" i="5"/>
  <c r="K117" i="5" s="1"/>
  <c r="M117" i="5" s="1"/>
  <c r="I33" i="5"/>
  <c r="K33" i="5" s="1"/>
  <c r="M33" i="5" s="1"/>
  <c r="I9" i="5"/>
  <c r="K9" i="5" s="1"/>
  <c r="M9" i="5" s="1"/>
  <c r="I49" i="5"/>
  <c r="K49" i="5" s="1"/>
  <c r="M49" i="5" s="1"/>
  <c r="I217" i="5"/>
  <c r="K217" i="5" s="1"/>
  <c r="M217" i="5" s="1"/>
  <c r="I181" i="5"/>
  <c r="K181" i="5" s="1"/>
  <c r="M181" i="5" s="1"/>
  <c r="I133" i="5"/>
  <c r="K133" i="5" s="1"/>
  <c r="M133" i="5" s="1"/>
  <c r="I109" i="5"/>
  <c r="K109" i="5" s="1"/>
  <c r="M109" i="5" s="1"/>
  <c r="I61" i="5"/>
  <c r="K61" i="5" s="1"/>
  <c r="M61" i="5" s="1"/>
  <c r="I25" i="5"/>
  <c r="K25" i="5" s="1"/>
  <c r="M25" i="5" s="1"/>
  <c r="I205" i="5"/>
  <c r="K205" i="5" s="1"/>
  <c r="M205" i="5" s="1"/>
  <c r="I169" i="5"/>
  <c r="K169" i="5" s="1"/>
  <c r="M169" i="5" s="1"/>
  <c r="I157" i="5"/>
  <c r="K157" i="5" s="1"/>
  <c r="M157" i="5" s="1"/>
  <c r="I97" i="5"/>
  <c r="K97" i="5" s="1"/>
  <c r="M97" i="5" s="1"/>
  <c r="I121" i="5"/>
  <c r="K121" i="5" s="1"/>
  <c r="M121" i="5" s="1"/>
  <c r="I37" i="5"/>
  <c r="K37" i="5" s="1"/>
  <c r="M37" i="5" s="1"/>
  <c r="I13" i="5"/>
  <c r="K13" i="5" s="1"/>
  <c r="M13" i="5" s="1"/>
  <c r="I40" i="5"/>
  <c r="K40" i="5" s="1"/>
  <c r="M40" i="5" s="1"/>
  <c r="K208" i="5"/>
  <c r="M208" i="5" s="1"/>
  <c r="I172" i="5"/>
  <c r="K172" i="5" s="1"/>
  <c r="M172" i="5" s="1"/>
  <c r="I124" i="5"/>
  <c r="K124" i="5" s="1"/>
  <c r="M124" i="5" s="1"/>
  <c r="I100" i="5"/>
  <c r="K100" i="5" s="1"/>
  <c r="M100" i="5" s="1"/>
  <c r="I52" i="5"/>
  <c r="K52" i="5" s="1"/>
  <c r="M52" i="5" s="1"/>
  <c r="I16" i="5"/>
  <c r="K16" i="5" s="1"/>
  <c r="M16" i="5" s="1"/>
  <c r="I196" i="5"/>
  <c r="K196" i="5" s="1"/>
  <c r="M196" i="5" s="1"/>
  <c r="I160" i="5"/>
  <c r="K160" i="5" s="1"/>
  <c r="M160" i="5" s="1"/>
  <c r="I148" i="5"/>
  <c r="K148" i="5" s="1"/>
  <c r="M148" i="5" s="1"/>
  <c r="I88" i="5"/>
  <c r="K88" i="5" s="1"/>
  <c r="M88" i="5" s="1"/>
  <c r="I112" i="5"/>
  <c r="K112" i="5" s="1"/>
  <c r="M112" i="5" s="1"/>
  <c r="I28" i="5"/>
  <c r="K28" i="5" s="1"/>
  <c r="M28" i="5" s="1"/>
  <c r="I4" i="5"/>
  <c r="K4" i="5" s="1"/>
  <c r="M4" i="5" s="1"/>
  <c r="I44" i="5"/>
  <c r="K44" i="5" s="1"/>
  <c r="M44" i="5" s="1"/>
  <c r="I212" i="5"/>
  <c r="K212" i="5" s="1"/>
  <c r="M212" i="5" s="1"/>
  <c r="I176" i="5"/>
  <c r="K176" i="5" s="1"/>
  <c r="M176" i="5" s="1"/>
  <c r="I128" i="5"/>
  <c r="K128" i="5" s="1"/>
  <c r="M128" i="5" s="1"/>
  <c r="I104" i="5"/>
  <c r="K104" i="5" s="1"/>
  <c r="M104" i="5" s="1"/>
  <c r="I56" i="5"/>
  <c r="K56" i="5" s="1"/>
  <c r="M56" i="5" s="1"/>
  <c r="I20" i="5"/>
  <c r="K20" i="5" s="1"/>
  <c r="M20" i="5" s="1"/>
  <c r="I200" i="5"/>
  <c r="K200" i="5" s="1"/>
  <c r="M200" i="5" s="1"/>
  <c r="I164" i="5"/>
  <c r="K164" i="5" s="1"/>
  <c r="M164" i="5" s="1"/>
  <c r="I152" i="5"/>
  <c r="K152" i="5" s="1"/>
  <c r="M152" i="5" s="1"/>
  <c r="I92" i="5"/>
  <c r="K92" i="5" s="1"/>
  <c r="M92" i="5" s="1"/>
  <c r="I116" i="5"/>
  <c r="K116" i="5" s="1"/>
  <c r="M116" i="5" s="1"/>
  <c r="I32" i="5"/>
  <c r="K32" i="5" s="1"/>
  <c r="M32" i="5" s="1"/>
  <c r="I8" i="5"/>
  <c r="K8" i="5" s="1"/>
  <c r="M8" i="5" s="1"/>
  <c r="I48" i="5"/>
  <c r="K48" i="5" s="1"/>
  <c r="M48" i="5" s="1"/>
  <c r="I216" i="5"/>
  <c r="K216" i="5" s="1"/>
  <c r="M216" i="5" s="1"/>
  <c r="I180" i="5"/>
  <c r="K180" i="5" s="1"/>
  <c r="M180" i="5" s="1"/>
  <c r="I132" i="5"/>
  <c r="K132" i="5" s="1"/>
  <c r="M132" i="5" s="1"/>
  <c r="I108" i="5"/>
  <c r="K108" i="5" s="1"/>
  <c r="M108" i="5" s="1"/>
  <c r="I60" i="5"/>
  <c r="K60" i="5" s="1"/>
  <c r="M60" i="5" s="1"/>
  <c r="I24" i="5"/>
  <c r="K24" i="5" s="1"/>
  <c r="M24" i="5" s="1"/>
  <c r="I204" i="5"/>
  <c r="K204" i="5" s="1"/>
  <c r="M204" i="5" s="1"/>
  <c r="I168" i="5"/>
  <c r="K168" i="5" s="1"/>
  <c r="M168" i="5" s="1"/>
  <c r="I156" i="5"/>
  <c r="K156" i="5" s="1"/>
  <c r="M156" i="5" s="1"/>
  <c r="I96" i="5"/>
  <c r="K96" i="5" s="1"/>
  <c r="M96" i="5" s="1"/>
  <c r="I120" i="5"/>
  <c r="K120" i="5" s="1"/>
  <c r="M120" i="5" s="1"/>
  <c r="I36" i="5"/>
  <c r="K36" i="5" s="1"/>
  <c r="M36" i="5" s="1"/>
  <c r="I12" i="5"/>
  <c r="K12" i="5" s="1"/>
  <c r="M12" i="5" s="1"/>
  <c r="I39" i="5"/>
  <c r="K39" i="5" s="1"/>
  <c r="M39" i="5" s="1"/>
  <c r="I207" i="5"/>
  <c r="K207" i="5" s="1"/>
  <c r="M207" i="5" s="1"/>
  <c r="I171" i="5"/>
  <c r="K171" i="5" s="1"/>
  <c r="M171" i="5" s="1"/>
  <c r="I123" i="5"/>
  <c r="K123" i="5" s="1"/>
  <c r="M123" i="5" s="1"/>
  <c r="I99" i="5"/>
  <c r="K99" i="5" s="1"/>
  <c r="M99" i="5" s="1"/>
  <c r="I51" i="5"/>
  <c r="K51" i="5" s="1"/>
  <c r="M51" i="5" s="1"/>
  <c r="I15" i="5"/>
  <c r="K15" i="5" s="1"/>
  <c r="M15" i="5" s="1"/>
  <c r="I195" i="5"/>
  <c r="K195" i="5" s="1"/>
  <c r="M195" i="5" s="1"/>
  <c r="I159" i="5"/>
  <c r="K159" i="5" s="1"/>
  <c r="M159" i="5" s="1"/>
  <c r="I147" i="5"/>
  <c r="K147" i="5" s="1"/>
  <c r="M147" i="5" s="1"/>
  <c r="I87" i="5"/>
  <c r="K87" i="5" s="1"/>
  <c r="M87" i="5" s="1"/>
  <c r="I111" i="5"/>
  <c r="K111" i="5" s="1"/>
  <c r="M111" i="5" s="1"/>
  <c r="I27" i="5"/>
  <c r="K27" i="5" s="1"/>
  <c r="M27" i="5" s="1"/>
  <c r="I3" i="5"/>
  <c r="K3" i="5" s="1"/>
  <c r="M3" i="5" s="1"/>
  <c r="I43" i="5"/>
  <c r="K43" i="5" s="1"/>
  <c r="M43" i="5" s="1"/>
  <c r="I211" i="5"/>
  <c r="K211" i="5" s="1"/>
  <c r="M211" i="5" s="1"/>
  <c r="I175" i="5"/>
  <c r="K175" i="5" s="1"/>
  <c r="M175" i="5" s="1"/>
  <c r="I127" i="5"/>
  <c r="K127" i="5" s="1"/>
  <c r="M127" i="5" s="1"/>
  <c r="I103" i="5"/>
  <c r="K103" i="5" s="1"/>
  <c r="M103" i="5" s="1"/>
  <c r="I55" i="5"/>
  <c r="K55" i="5" s="1"/>
  <c r="M55" i="5" s="1"/>
  <c r="I19" i="5"/>
  <c r="K19" i="5" s="1"/>
  <c r="M19" i="5" s="1"/>
  <c r="I199" i="5"/>
  <c r="K199" i="5" s="1"/>
  <c r="M199" i="5" s="1"/>
  <c r="I163" i="5"/>
  <c r="K163" i="5" s="1"/>
  <c r="M163" i="5" s="1"/>
  <c r="I151" i="5"/>
  <c r="K151" i="5" s="1"/>
  <c r="M151" i="5" s="1"/>
  <c r="I91" i="5"/>
  <c r="K91" i="5" s="1"/>
  <c r="M91" i="5" s="1"/>
  <c r="I115" i="5"/>
  <c r="K115" i="5" s="1"/>
  <c r="M115" i="5" s="1"/>
  <c r="I31" i="5"/>
  <c r="K31" i="5" s="1"/>
  <c r="M31" i="5" s="1"/>
  <c r="I7" i="5"/>
  <c r="K7" i="5" s="1"/>
  <c r="M7" i="5" s="1"/>
  <c r="I47" i="5"/>
  <c r="K47" i="5" s="1"/>
  <c r="M47" i="5" s="1"/>
  <c r="I215" i="5"/>
  <c r="K215" i="5" s="1"/>
  <c r="M215" i="5" s="1"/>
  <c r="I179" i="5"/>
  <c r="K179" i="5" s="1"/>
  <c r="M179" i="5" s="1"/>
  <c r="I131" i="5"/>
  <c r="K131" i="5" s="1"/>
  <c r="M131" i="5" s="1"/>
  <c r="I107" i="5"/>
  <c r="K107" i="5" s="1"/>
  <c r="M107" i="5" s="1"/>
  <c r="I59" i="5"/>
  <c r="K59" i="5" s="1"/>
  <c r="M59" i="5" s="1"/>
  <c r="I23" i="5"/>
  <c r="K23" i="5" s="1"/>
  <c r="M23" i="5" s="1"/>
  <c r="I203" i="5"/>
  <c r="K203" i="5" s="1"/>
  <c r="M203" i="5" s="1"/>
  <c r="I167" i="5"/>
  <c r="K167" i="5" s="1"/>
  <c r="M167" i="5" s="1"/>
  <c r="I155" i="5"/>
  <c r="K155" i="5" s="1"/>
  <c r="M155" i="5" s="1"/>
  <c r="I95" i="5"/>
  <c r="K95" i="5" s="1"/>
  <c r="M95" i="5" s="1"/>
  <c r="I119" i="5"/>
  <c r="K119" i="5" s="1"/>
  <c r="M119" i="5" s="1"/>
  <c r="I35" i="5"/>
  <c r="K35" i="5" s="1"/>
  <c r="M35" i="5" s="1"/>
  <c r="I11" i="5"/>
  <c r="K11" i="5" s="1"/>
  <c r="M11" i="5" s="1"/>
  <c r="I38" i="5"/>
  <c r="K38" i="5" s="1"/>
  <c r="M38" i="5" s="1"/>
  <c r="I206" i="5"/>
  <c r="K206" i="5" s="1"/>
  <c r="M206" i="5" s="1"/>
  <c r="I170" i="5"/>
  <c r="K170" i="5" s="1"/>
  <c r="M170" i="5" s="1"/>
  <c r="I122" i="5"/>
  <c r="K122" i="5" s="1"/>
  <c r="M122" i="5" s="1"/>
  <c r="I98" i="5"/>
  <c r="K98" i="5" s="1"/>
  <c r="M98" i="5" s="1"/>
  <c r="I50" i="5"/>
  <c r="K50" i="5" s="1"/>
  <c r="M50" i="5" s="1"/>
  <c r="I14" i="5"/>
  <c r="K14" i="5" s="1"/>
  <c r="M14" i="5" s="1"/>
  <c r="I194" i="5"/>
  <c r="K194" i="5" s="1"/>
  <c r="M194" i="5" s="1"/>
  <c r="I158" i="5"/>
  <c r="K158" i="5" s="1"/>
  <c r="M158" i="5" s="1"/>
  <c r="I146" i="5"/>
  <c r="K146" i="5" s="1"/>
  <c r="M146" i="5" s="1"/>
  <c r="I86" i="5"/>
  <c r="K86" i="5" s="1"/>
  <c r="M86" i="5" s="1"/>
  <c r="I110" i="5"/>
  <c r="K110" i="5" s="1"/>
  <c r="M110" i="5" s="1"/>
  <c r="I26" i="5"/>
  <c r="K26" i="5" s="1"/>
  <c r="M26" i="5" s="1"/>
  <c r="I2" i="5"/>
  <c r="K2" i="5" s="1"/>
  <c r="M2" i="5" s="1"/>
  <c r="I42" i="5"/>
  <c r="K42" i="5" s="1"/>
  <c r="M42" i="5" s="1"/>
  <c r="I210" i="5"/>
  <c r="K210" i="5" s="1"/>
  <c r="M210" i="5" s="1"/>
  <c r="I174" i="5"/>
  <c r="K174" i="5" s="1"/>
  <c r="M174" i="5" s="1"/>
  <c r="I126" i="5"/>
  <c r="K126" i="5" s="1"/>
  <c r="M126" i="5" s="1"/>
  <c r="I102" i="5"/>
  <c r="K102" i="5" s="1"/>
  <c r="M102" i="5" s="1"/>
  <c r="I54" i="5"/>
  <c r="K54" i="5" s="1"/>
  <c r="M54" i="5" s="1"/>
  <c r="I18" i="5"/>
  <c r="K18" i="5" s="1"/>
  <c r="M18" i="5" s="1"/>
  <c r="I198" i="5"/>
  <c r="K198" i="5" s="1"/>
  <c r="M198" i="5" s="1"/>
  <c r="I162" i="5"/>
  <c r="K162" i="5" s="1"/>
  <c r="M162" i="5" s="1"/>
  <c r="I150" i="5"/>
  <c r="K150" i="5" s="1"/>
  <c r="M150" i="5" s="1"/>
  <c r="I90" i="5"/>
  <c r="K90" i="5" s="1"/>
  <c r="M90" i="5" s="1"/>
  <c r="I114" i="5"/>
  <c r="K114" i="5" s="1"/>
  <c r="M114" i="5" s="1"/>
  <c r="I30" i="5"/>
  <c r="K30" i="5" s="1"/>
  <c r="M30" i="5" s="1"/>
  <c r="I6" i="5"/>
  <c r="K6" i="5" s="1"/>
  <c r="M6" i="5" s="1"/>
  <c r="I46" i="5"/>
  <c r="K46" i="5" s="1"/>
  <c r="M46" i="5" s="1"/>
  <c r="I214" i="5"/>
  <c r="K214" i="5" s="1"/>
  <c r="M214" i="5" s="1"/>
  <c r="I178" i="5"/>
  <c r="K178" i="5" s="1"/>
  <c r="M178" i="5" s="1"/>
  <c r="I130" i="5"/>
  <c r="K130" i="5" s="1"/>
  <c r="M130" i="5" s="1"/>
  <c r="I106" i="5"/>
  <c r="K106" i="5" s="1"/>
  <c r="M106" i="5" s="1"/>
  <c r="I58" i="5"/>
  <c r="K58" i="5" s="1"/>
  <c r="M58" i="5" s="1"/>
  <c r="I22" i="5"/>
  <c r="K22" i="5" s="1"/>
  <c r="M22" i="5" s="1"/>
  <c r="I202" i="5"/>
  <c r="K202" i="5" s="1"/>
  <c r="M202" i="5" s="1"/>
  <c r="I166" i="5"/>
  <c r="K166" i="5" s="1"/>
  <c r="M166" i="5" s="1"/>
  <c r="I154" i="5"/>
  <c r="K154" i="5" s="1"/>
  <c r="M154" i="5" s="1"/>
  <c r="I94" i="5"/>
  <c r="K94" i="5" s="1"/>
  <c r="M94" i="5" s="1"/>
  <c r="I118" i="5"/>
  <c r="K118" i="5" s="1"/>
  <c r="M118" i="5" s="1"/>
  <c r="I34" i="5"/>
  <c r="K34" i="5" s="1"/>
  <c r="M34" i="5" s="1"/>
  <c r="I10" i="5"/>
  <c r="K10" i="5" s="1"/>
  <c r="M10" i="5" s="1"/>
  <c r="K5" i="4" l="1"/>
  <c r="H29" i="4"/>
  <c r="H31" i="4"/>
  <c r="H33" i="4"/>
  <c r="H27" i="4"/>
  <c r="H37" i="4"/>
  <c r="H39" i="4"/>
  <c r="H41" i="4"/>
  <c r="H35" i="4"/>
  <c r="H45" i="4"/>
  <c r="H47" i="4"/>
  <c r="H49" i="4"/>
  <c r="H43" i="4"/>
  <c r="H53" i="4"/>
  <c r="H55" i="4"/>
  <c r="H57" i="4"/>
  <c r="H51" i="4"/>
  <c r="H61" i="4"/>
  <c r="H63" i="4"/>
  <c r="H65" i="4"/>
  <c r="H59" i="4"/>
  <c r="H69" i="4"/>
  <c r="H71" i="4"/>
  <c r="H73" i="4"/>
  <c r="H67" i="4"/>
  <c r="F69" i="4"/>
  <c r="L69" i="4" s="1"/>
  <c r="F71" i="4"/>
  <c r="F73" i="4"/>
  <c r="F67" i="4"/>
  <c r="L67" i="4" s="1"/>
  <c r="F61" i="4"/>
  <c r="L61" i="4" s="1"/>
  <c r="F63" i="4"/>
  <c r="L63" i="4" s="1"/>
  <c r="F65" i="4"/>
  <c r="L65" i="4" s="1"/>
  <c r="F59" i="4"/>
  <c r="L59" i="4" s="1"/>
  <c r="F53" i="4"/>
  <c r="L53" i="4" s="1"/>
  <c r="F55" i="4"/>
  <c r="L55" i="4" s="1"/>
  <c r="F57" i="4"/>
  <c r="F51" i="4"/>
  <c r="L51" i="4" s="1"/>
  <c r="F45" i="4"/>
  <c r="L45" i="4" s="1"/>
  <c r="F47" i="4"/>
  <c r="L47" i="4" s="1"/>
  <c r="F49" i="4"/>
  <c r="F43" i="4"/>
  <c r="L43" i="4" s="1"/>
  <c r="F37" i="4"/>
  <c r="L37" i="4" s="1"/>
  <c r="F39" i="4"/>
  <c r="L39" i="4" s="1"/>
  <c r="F41" i="4"/>
  <c r="L41" i="4" s="1"/>
  <c r="F35" i="4"/>
  <c r="L35" i="4" s="1"/>
  <c r="F29" i="4"/>
  <c r="L29" i="4" s="1"/>
  <c r="F31" i="4"/>
  <c r="L31" i="4" s="1"/>
  <c r="F33" i="4"/>
  <c r="F27" i="4"/>
  <c r="L27" i="4" s="1"/>
  <c r="H20" i="4"/>
  <c r="H22" i="4"/>
  <c r="H24" i="4"/>
  <c r="H18" i="4"/>
  <c r="F20" i="4"/>
  <c r="L20" i="4" s="1"/>
  <c r="F22" i="4"/>
  <c r="L22" i="4" s="1"/>
  <c r="F24" i="4"/>
  <c r="F18" i="4"/>
  <c r="H12" i="4"/>
  <c r="H14" i="4"/>
  <c r="H16" i="4"/>
  <c r="H10" i="4"/>
  <c r="F12" i="4"/>
  <c r="L12" i="4" s="1"/>
  <c r="F14" i="4"/>
  <c r="L14" i="4" s="1"/>
  <c r="F16" i="4"/>
  <c r="L16" i="4" s="1"/>
  <c r="M16" i="4" s="1"/>
  <c r="O16" i="4" s="1"/>
  <c r="F10" i="4"/>
  <c r="H4" i="4"/>
  <c r="H6" i="4"/>
  <c r="H8" i="4"/>
  <c r="H2" i="4"/>
  <c r="F8" i="4"/>
  <c r="F6" i="4"/>
  <c r="L6" i="4" s="1"/>
  <c r="F4" i="4"/>
  <c r="F2" i="4"/>
  <c r="K57" i="4"/>
  <c r="K33" i="4"/>
  <c r="K8" i="4"/>
  <c r="K58" i="4"/>
  <c r="K34" i="4"/>
  <c r="K9" i="4"/>
  <c r="K65" i="4"/>
  <c r="K41" i="4"/>
  <c r="K16" i="4"/>
  <c r="K66" i="4"/>
  <c r="K42" i="4"/>
  <c r="K17" i="4"/>
  <c r="K73" i="4"/>
  <c r="K49" i="4"/>
  <c r="K24" i="4"/>
  <c r="K74" i="4"/>
  <c r="K50" i="4"/>
  <c r="K25" i="4"/>
  <c r="K55" i="4"/>
  <c r="K31" i="4"/>
  <c r="K6" i="4"/>
  <c r="K56" i="4"/>
  <c r="K32" i="4"/>
  <c r="K7" i="4"/>
  <c r="K63" i="4"/>
  <c r="K39" i="4"/>
  <c r="K14" i="4"/>
  <c r="K64" i="4"/>
  <c r="K40" i="4"/>
  <c r="K15" i="4"/>
  <c r="K71" i="4"/>
  <c r="K47" i="4"/>
  <c r="K22" i="4"/>
  <c r="K72" i="4"/>
  <c r="K48" i="4"/>
  <c r="K23" i="4"/>
  <c r="K53" i="4"/>
  <c r="K29" i="4"/>
  <c r="K4" i="4"/>
  <c r="K54" i="4"/>
  <c r="K30" i="4"/>
  <c r="K61" i="4"/>
  <c r="K37" i="4"/>
  <c r="K12" i="4"/>
  <c r="K62" i="4"/>
  <c r="K38" i="4"/>
  <c r="K13" i="4"/>
  <c r="K69" i="4"/>
  <c r="K45" i="4"/>
  <c r="K20" i="4"/>
  <c r="K70" i="4"/>
  <c r="K46" i="4"/>
  <c r="K21" i="4"/>
  <c r="K51" i="4"/>
  <c r="K27" i="4"/>
  <c r="K2" i="4"/>
  <c r="K52" i="4"/>
  <c r="K28" i="4"/>
  <c r="K59" i="4"/>
  <c r="K35" i="4"/>
  <c r="K10" i="4"/>
  <c r="K60" i="4"/>
  <c r="K36" i="4"/>
  <c r="K11" i="4"/>
  <c r="K67" i="4"/>
  <c r="K43" i="4"/>
  <c r="K18" i="4"/>
  <c r="K68" i="4"/>
  <c r="K44" i="4"/>
  <c r="K19" i="4"/>
  <c r="L57" i="4" l="1"/>
  <c r="L71" i="4"/>
  <c r="M57" i="4"/>
  <c r="O57" i="4" s="1"/>
  <c r="L33" i="4"/>
  <c r="M33" i="4" s="1"/>
  <c r="O33" i="4" s="1"/>
  <c r="M65" i="4"/>
  <c r="O65" i="4" s="1"/>
  <c r="M6" i="4"/>
  <c r="O6" i="4" s="1"/>
  <c r="M39" i="4"/>
  <c r="O39" i="4" s="1"/>
  <c r="M63" i="4"/>
  <c r="O63" i="4" s="1"/>
  <c r="M45" i="4"/>
  <c r="O45" i="4" s="1"/>
  <c r="M53" i="4"/>
  <c r="O53" i="4" s="1"/>
  <c r="M41" i="4"/>
  <c r="O41" i="4" s="1"/>
  <c r="M31" i="4"/>
  <c r="O31" i="4" s="1"/>
  <c r="M47" i="4"/>
  <c r="O47" i="4" s="1"/>
  <c r="M29" i="4"/>
  <c r="O29" i="4" s="1"/>
  <c r="M37" i="4"/>
  <c r="O37" i="4" s="1"/>
  <c r="M61" i="4"/>
  <c r="O61" i="4" s="1"/>
  <c r="M69" i="4"/>
  <c r="O69" i="4" s="1"/>
  <c r="M55" i="4"/>
  <c r="O55" i="4" s="1"/>
  <c r="M71" i="4"/>
  <c r="O71" i="4" s="1"/>
  <c r="M27" i="4"/>
  <c r="O27" i="4" s="1"/>
  <c r="M35" i="4"/>
  <c r="O35" i="4" s="1"/>
  <c r="M43" i="4"/>
  <c r="O43" i="4" s="1"/>
  <c r="M51" i="4"/>
  <c r="O51" i="4" s="1"/>
  <c r="M59" i="4"/>
  <c r="O59" i="4" s="1"/>
  <c r="M67" i="4"/>
  <c r="O67" i="4" s="1"/>
  <c r="L49" i="4"/>
  <c r="M49" i="4" s="1"/>
  <c r="O49" i="4" s="1"/>
  <c r="L73" i="4"/>
  <c r="M73" i="4" s="1"/>
  <c r="O73" i="4" s="1"/>
  <c r="M14" i="4"/>
  <c r="O14" i="4" s="1"/>
  <c r="M22" i="4"/>
  <c r="O22" i="4" s="1"/>
  <c r="M12" i="4"/>
  <c r="O12" i="4" s="1"/>
  <c r="M20" i="4"/>
  <c r="O20" i="4" s="1"/>
  <c r="L24" i="4"/>
  <c r="M24" i="4" s="1"/>
  <c r="O24" i="4" s="1"/>
  <c r="L18" i="4"/>
  <c r="M18" i="4" s="1"/>
  <c r="O18" i="4" s="1"/>
  <c r="L10" i="4"/>
  <c r="M10" i="4" s="1"/>
  <c r="O10" i="4" s="1"/>
  <c r="L4" i="4"/>
  <c r="M4" i="4" s="1"/>
  <c r="O4" i="4" s="1"/>
  <c r="L2" i="4"/>
  <c r="L8" i="4"/>
  <c r="M8" i="4" s="1"/>
  <c r="O8" i="4" s="1"/>
  <c r="K3" i="4"/>
  <c r="M2" i="4" l="1"/>
  <c r="O2" i="4" s="1"/>
</calcChain>
</file>

<file path=xl/sharedStrings.xml><?xml version="1.0" encoding="utf-8"?>
<sst xmlns="http://schemas.openxmlformats.org/spreadsheetml/2006/main" count="1708" uniqueCount="254">
  <si>
    <t>WTYVGQSIAFVPK</t>
  </si>
  <si>
    <t>QINDGTSDKPK</t>
  </si>
  <si>
    <t>VGTVVSIGGPQQGIFGIPK</t>
  </si>
  <si>
    <t>INSLVIPNQAFGEM[+16]R</t>
  </si>
  <si>
    <t>TIEFSQNENLLK</t>
  </si>
  <si>
    <t>QLEEEQNPFHK</t>
  </si>
  <si>
    <t>M[+16]NTTPVHQEEPSFWR</t>
  </si>
  <si>
    <t>ENYEQQLQQPK</t>
  </si>
  <si>
    <t>MNTTPVHQEEPSFWR</t>
  </si>
  <si>
    <t>LSHHNTVPAK</t>
  </si>
  <si>
    <t>AYGIWSLFSYFYK</t>
  </si>
  <si>
    <t>LATAIQNEIPR</t>
  </si>
  <si>
    <t>FNSIFGEEEYNPPK</t>
  </si>
  <si>
    <t>INSLVIPNQAFGEMR</t>
  </si>
  <si>
    <t>NAENPFDSPYYR</t>
  </si>
  <si>
    <t>NIFSLDYFTSK</t>
  </si>
  <si>
    <t>SIADIFLINKPK</t>
  </si>
  <si>
    <t>QVPLYLFIDDDYDLVPK</t>
  </si>
  <si>
    <t>KFHIVFFC[+57]GENYEQQLQQPK</t>
  </si>
  <si>
    <t>VFVVC[+57]NYGPGGK</t>
  </si>
  <si>
    <t>TTLSHHNTVPAK</t>
  </si>
  <si>
    <t>FHIVFFC[+57]GENYEQQLQQPK</t>
  </si>
  <si>
    <t>MEG-15</t>
  </si>
  <si>
    <t>MEG-4.2</t>
  </si>
  <si>
    <t>MEG-8.2</t>
  </si>
  <si>
    <t>VAL-7</t>
  </si>
  <si>
    <t>MEG-12</t>
  </si>
  <si>
    <t>MEG-4.1</t>
  </si>
  <si>
    <t>z</t>
  </si>
  <si>
    <t>RT</t>
  </si>
  <si>
    <t xml:space="preserve">β-1,3-GalTase </t>
  </si>
  <si>
    <t>Protein</t>
  </si>
  <si>
    <t>Peptide</t>
  </si>
  <si>
    <t>Replicate</t>
  </si>
  <si>
    <t>Endogenous peptide (fmoles)</t>
  </si>
  <si>
    <t>Endogenous peptide [ng/µg]</t>
  </si>
  <si>
    <t>mProphet Q-value</t>
  </si>
  <si>
    <t>mProphet SCORE</t>
  </si>
  <si>
    <t>Peak</t>
  </si>
  <si>
    <t>TRUE</t>
  </si>
  <si>
    <t>FALSE</t>
  </si>
  <si>
    <t>Σ Area (light)</t>
  </si>
  <si>
    <t>Ratio (light/heavy)</t>
  </si>
  <si>
    <t>Points across peak (light)</t>
  </si>
  <si>
    <t>Points across peak (heavy)</t>
  </si>
  <si>
    <t>Σ Area (heavy)</t>
  </si>
  <si>
    <r>
      <t>Points across peak (</t>
    </r>
    <r>
      <rPr>
        <b/>
        <i/>
        <sz val="12"/>
        <color theme="1"/>
        <rFont val="Calibri"/>
        <family val="2"/>
        <scheme val="minor"/>
      </rPr>
      <t>light</t>
    </r>
    <r>
      <rPr>
        <b/>
        <sz val="12"/>
        <color theme="1"/>
        <rFont val="Calibri"/>
        <family val="2"/>
        <scheme val="minor"/>
      </rPr>
      <t>)</t>
    </r>
  </si>
  <si>
    <r>
      <t>Points across peak (</t>
    </r>
    <r>
      <rPr>
        <b/>
        <i/>
        <sz val="12"/>
        <color theme="1"/>
        <rFont val="Calibri"/>
        <family val="2"/>
        <scheme val="minor"/>
      </rPr>
      <t>heavy</t>
    </r>
    <r>
      <rPr>
        <b/>
        <sz val="12"/>
        <color theme="1"/>
        <rFont val="Calibri"/>
        <family val="2"/>
        <scheme val="minor"/>
      </rPr>
      <t>)</t>
    </r>
  </si>
  <si>
    <t>Aspartyl protease</t>
  </si>
  <si>
    <t>Palm thioesterase</t>
  </si>
  <si>
    <t>Area (light)</t>
  </si>
  <si>
    <t>Area (heavy)</t>
  </si>
  <si>
    <t>Average mass (Da)</t>
  </si>
  <si>
    <t>EsoCAT concentration [fmol/µg]</t>
  </si>
  <si>
    <t>rep-1</t>
  </si>
  <si>
    <t>rep-2</t>
  </si>
  <si>
    <t>rep-3</t>
  </si>
  <si>
    <t>rep-4</t>
  </si>
  <si>
    <t>Serial dilution factor</t>
  </si>
  <si>
    <t>FNSIFGEEEYNPPK*</t>
  </si>
  <si>
    <t>QLEEEQNPFHK*</t>
  </si>
  <si>
    <t>SIADIFLINKPK*</t>
  </si>
  <si>
    <t>TTLSHHNTVPAK*</t>
  </si>
  <si>
    <t>TIEFSQNENLLK*</t>
  </si>
  <si>
    <t>ENYEQQLQQPK*</t>
  </si>
  <si>
    <t>NAENPFDSPYYR*</t>
  </si>
  <si>
    <t>NIFSLDYFTSK*</t>
  </si>
  <si>
    <t>LATAIQNEIPR*</t>
  </si>
  <si>
    <t>VFVVC[+57]NYGPGGK*</t>
  </si>
  <si>
    <t>WTYVGQSIAFVPK*</t>
  </si>
  <si>
    <t>INSLVIPNQAFGEM[+16]R*</t>
  </si>
  <si>
    <t>INSLVIPNQAFGEMR*</t>
  </si>
  <si>
    <t>VGTVVSIGGPQQGIFGIPK*</t>
  </si>
  <si>
    <t>M[+16]NTTPVHQEEPSFWR*</t>
  </si>
  <si>
    <t>MNTTPVHQEEPSFWR*</t>
  </si>
  <si>
    <r>
      <rPr>
        <sz val="11"/>
        <color theme="1"/>
        <rFont val="Calibri"/>
        <family val="2"/>
      </rPr>
      <t>β-</t>
    </r>
    <r>
      <rPr>
        <sz val="11"/>
        <color theme="1"/>
        <rFont val="Calibri"/>
        <family val="2"/>
        <scheme val="minor"/>
      </rPr>
      <t>1,3-N-galactosyltransferase</t>
    </r>
  </si>
  <si>
    <t>Palmitoyl thioesterase</t>
  </si>
  <si>
    <t>FHIVFFCGENYEQQLQQPK</t>
  </si>
  <si>
    <t>LSHHNTVPAK 100x</t>
  </si>
  <si>
    <t>10x</t>
  </si>
  <si>
    <t>100x</t>
  </si>
  <si>
    <t>1x</t>
  </si>
  <si>
    <t>nor heavy or light</t>
  </si>
  <si>
    <t>-</t>
  </si>
  <si>
    <t>both - rt variation</t>
  </si>
  <si>
    <t>both - noisy</t>
  </si>
  <si>
    <t>A2</t>
  </si>
  <si>
    <t>A1</t>
  </si>
  <si>
    <t>LIGHT below LOD</t>
  </si>
  <si>
    <t>10X</t>
  </si>
  <si>
    <t>both - good</t>
  </si>
  <si>
    <t>both - resonable</t>
  </si>
  <si>
    <t>both - beautiful</t>
  </si>
  <si>
    <t>B</t>
  </si>
  <si>
    <t>13.07%</t>
  </si>
  <si>
    <t>3.96%</t>
  </si>
  <si>
    <t>13.89%</t>
  </si>
  <si>
    <t>6.74%</t>
  </si>
  <si>
    <t>9.08%</t>
  </si>
  <si>
    <t>9.80%</t>
  </si>
  <si>
    <t>10.49%</t>
  </si>
  <si>
    <t>9.61%</t>
  </si>
  <si>
    <t>8.55%</t>
  </si>
  <si>
    <t>7.63%</t>
  </si>
  <si>
    <t>7.19%</t>
  </si>
  <si>
    <t>9.52%</t>
  </si>
  <si>
    <t>Smp_132480</t>
  </si>
  <si>
    <t>Smp_151220</t>
  </si>
  <si>
    <t>Smp_142970</t>
  </si>
  <si>
    <t>Smp_242990</t>
  </si>
  <si>
    <t>Smp_163630</t>
  </si>
  <si>
    <t>Smp_085840</t>
  </si>
  <si>
    <t>Smp_172180</t>
  </si>
  <si>
    <t>Smp_152630</t>
  </si>
  <si>
    <t>Smp_010550</t>
  </si>
  <si>
    <t>GeneDB acession</t>
  </si>
  <si>
    <t>OBS</t>
  </si>
  <si>
    <t>CV</t>
  </si>
  <si>
    <t>SD</t>
  </si>
  <si>
    <t>SEM</t>
  </si>
  <si>
    <t>Description</t>
  </si>
  <si>
    <t>Best dilution point of EsoCAT</t>
  </si>
  <si>
    <t>Peptide type</t>
  </si>
  <si>
    <t>Skyline's peak dotp</t>
  </si>
  <si>
    <t>#replicates</t>
  </si>
  <si>
    <r>
      <t>Q</t>
    </r>
    <r>
      <rPr>
        <b/>
        <vertAlign val="subscript"/>
        <sz val="11"/>
        <color theme="1"/>
        <rFont val="Calibri"/>
        <family val="2"/>
        <scheme val="minor"/>
      </rPr>
      <t>1/4</t>
    </r>
  </si>
  <si>
    <r>
      <t>Q</t>
    </r>
    <r>
      <rPr>
        <b/>
        <vertAlign val="subscript"/>
        <sz val="11"/>
        <color theme="1"/>
        <rFont val="Calibri"/>
        <family val="2"/>
        <scheme val="minor"/>
      </rPr>
      <t>3/4</t>
    </r>
  </si>
  <si>
    <t>Average</t>
  </si>
  <si>
    <t>y7 (859.54), y6 (712.47), y5 (599.38), y4 (486.30)</t>
  </si>
  <si>
    <t>y7 (732.38), y4 (487.28), y3 (372.26)</t>
  </si>
  <si>
    <t>y9 (1157.52), y8 (1028.47), y7 (899.43)</t>
  </si>
  <si>
    <t>y10 (1209.54), y9 (1062.47), y3 (341.21), b3 (349.15)</t>
  </si>
  <si>
    <t>y9 (1215.55), y8 (1078.49), y7 (950.43), y5 (692.35)</t>
  </si>
  <si>
    <t>y9 (1215.55), y8 (1078.49), y6 (821.39)</t>
  </si>
  <si>
    <t>y9 (1240.60), y8 (1054.52), y7 (967.49), y6 (854.40), y5 (707.33)</t>
  </si>
  <si>
    <t>y8 (998.52), y7 (869.48), y6 (741.42), y5 (613.36)</t>
  </si>
  <si>
    <t>y9 (1161.58), y8 (994.52), y7 (869.48), y5 (613.36), b5 (625.38)</t>
  </si>
  <si>
    <t>y8 (998.52), y5 (613.36), b3 (398.21), b5 (644.35)</t>
  </si>
  <si>
    <t>y7 (766.42), y6 (629.36), y3 (315.20)</t>
  </si>
  <si>
    <t>y10 (1221.61), y9 (1092.56), y8 (945.49)</t>
  </si>
  <si>
    <t>y9 (951.43), y8 (852.36), y5 (415.22), y4 (358.20)</t>
  </si>
  <si>
    <t>y11 (1208.66), y10 (1045.60), y9 (946.53)</t>
  </si>
  <si>
    <t>Palm tio</t>
  </si>
  <si>
    <t>y8 (859.50), y7 (731.44), y5 (561.33), b4 (357.21)</t>
  </si>
  <si>
    <t>y9 (1041.56), y7 (869.48), y6 (756.39), y5 (628.34)</t>
  </si>
  <si>
    <t>Asp prot</t>
  </si>
  <si>
    <t>y11 (1261.63), y10 (1162.56), y9 (1049.48)</t>
  </si>
  <si>
    <t>y9 (1107.53), y8 (960.46), y3 (335.19)</t>
  </si>
  <si>
    <t>y9 (1158.52), y8 (1044.47), y6 (800.35), y5 (685.33)</t>
  </si>
  <si>
    <t>y11 (1339.64), y10 (1192.57), b6 (714.41), b7 (861.48)</t>
  </si>
  <si>
    <t>GluFib</t>
  </si>
  <si>
    <t>EGVNDNEEGFFSAR</t>
  </si>
  <si>
    <t>y11 (1285.54), y9 (1056.47), y7 (813.38), y6(684.34)</t>
  </si>
  <si>
    <r>
      <t>Precursor (</t>
    </r>
    <r>
      <rPr>
        <b/>
        <i/>
        <sz val="11"/>
        <color rgb="FF000000"/>
        <rFont val="Calibri"/>
        <family val="2"/>
        <scheme val="minor"/>
      </rPr>
      <t>m</t>
    </r>
    <r>
      <rPr>
        <b/>
        <sz val="11"/>
        <color rgb="FF000000"/>
        <rFont val="Calibri"/>
        <family val="2"/>
        <scheme val="minor"/>
      </rPr>
      <t>/</t>
    </r>
    <r>
      <rPr>
        <b/>
        <i/>
        <sz val="11"/>
        <color rgb="FF000000"/>
        <rFont val="Calibri"/>
        <family val="2"/>
        <scheme val="minor"/>
      </rPr>
      <t>z</t>
    </r>
    <r>
      <rPr>
        <b/>
        <sz val="11"/>
        <color rgb="FF000000"/>
        <rFont val="Calibri"/>
        <family val="2"/>
        <scheme val="minor"/>
      </rPr>
      <t>)</t>
    </r>
  </si>
  <si>
    <r>
      <t>Product ions (m/</t>
    </r>
    <r>
      <rPr>
        <b/>
        <i/>
        <sz val="11"/>
        <color rgb="FF000000"/>
        <rFont val="Calibri"/>
        <family val="2"/>
        <scheme val="minor"/>
      </rPr>
      <t>z</t>
    </r>
    <r>
      <rPr>
        <b/>
        <sz val="11"/>
        <color rgb="FF000000"/>
        <rFont val="Calibri"/>
        <family val="2"/>
        <scheme val="minor"/>
      </rPr>
      <t>)</t>
    </r>
  </si>
  <si>
    <t>y10 (1114.56), y9 (1065.47), y9* (1001.47)</t>
  </si>
  <si>
    <t>light</t>
  </si>
  <si>
    <t>heavy</t>
  </si>
  <si>
    <t>FNSIFGEEEYNPPKDSDVNK</t>
  </si>
  <si>
    <t>Tube 1</t>
  </si>
  <si>
    <t>Tube 2</t>
  </si>
  <si>
    <t>Tube 3</t>
  </si>
  <si>
    <t>Tube 4</t>
  </si>
  <si>
    <t>Tube1-100x-Method-1</t>
  </si>
  <si>
    <t>True</t>
  </si>
  <si>
    <t>Tube1-10x-Method-1</t>
  </si>
  <si>
    <t>Tube1-1x-Method-1</t>
  </si>
  <si>
    <t>Tube2-100x-Method-1</t>
  </si>
  <si>
    <t>Tube2-10x-Method-1</t>
  </si>
  <si>
    <t>Tube2-1x-Method-1</t>
  </si>
  <si>
    <t>Tube3-100x-Method-1</t>
  </si>
  <si>
    <t>Tube3-10x-Method-1</t>
  </si>
  <si>
    <t>Tube3-1x-Method-1</t>
  </si>
  <si>
    <t>Tube4-100x-Method-1</t>
  </si>
  <si>
    <t>False</t>
  </si>
  <si>
    <t>Tube4-10x-Method-1</t>
  </si>
  <si>
    <t>Tube4-1x-Method-1</t>
  </si>
  <si>
    <t>Neg-Method3-Tube1</t>
  </si>
  <si>
    <t>Neg-Method3-Tube2</t>
  </si>
  <si>
    <t>Neg-Method3-Tube3</t>
  </si>
  <si>
    <t>Neg-Method3-Tube4</t>
  </si>
  <si>
    <t>Tube1-100x-Method-3</t>
  </si>
  <si>
    <t>Tube1-10x-Method-3</t>
  </si>
  <si>
    <t>Tube1-1x-Method-3</t>
  </si>
  <si>
    <t>Tube2-100x-Method-3</t>
  </si>
  <si>
    <t>Tube2-10x-Method-3</t>
  </si>
  <si>
    <t>Tube2-1x-Method-3</t>
  </si>
  <si>
    <t>Tube3-100x-Method-3</t>
  </si>
  <si>
    <t>Tube3-10x-Method-3</t>
  </si>
  <si>
    <t>Tube3-1x-Method-3</t>
  </si>
  <si>
    <t>Tube4-100x-Method-3</t>
  </si>
  <si>
    <t>Tube4-10x-Method-3</t>
  </si>
  <si>
    <t>Tube4-1x-Method-3</t>
  </si>
  <si>
    <t>FHIVFFCGENYEQQLQQPK‡</t>
  </si>
  <si>
    <r>
      <t>y7</t>
    </r>
    <r>
      <rPr>
        <sz val="11"/>
        <color rgb="FF000000"/>
        <rFont val="Calibri"/>
        <family val="2"/>
        <scheme val="minor"/>
      </rPr>
      <t xml:space="preserve"> (766.42), y9</t>
    </r>
    <r>
      <rPr>
        <vertAlign val="superscript"/>
        <sz val="11"/>
        <color rgb="FF000000"/>
        <rFont val="Calibri"/>
        <family val="2"/>
        <scheme val="minor"/>
      </rPr>
      <t>++</t>
    </r>
    <r>
      <rPr>
        <sz val="11"/>
        <color rgb="FF000000"/>
        <rFont val="Calibri"/>
        <family val="2"/>
        <scheme val="minor"/>
      </rPr>
      <t xml:space="preserve"> (495.75), y7</t>
    </r>
    <r>
      <rPr>
        <vertAlign val="superscript"/>
        <sz val="11"/>
        <color rgb="FF000000"/>
        <rFont val="Calibri"/>
        <family val="2"/>
        <scheme val="minor"/>
      </rPr>
      <t>++</t>
    </r>
    <r>
      <rPr>
        <sz val="11"/>
        <color rgb="FF000000"/>
        <rFont val="Calibri"/>
        <family val="2"/>
        <scheme val="minor"/>
      </rPr>
      <t xml:space="preserve"> (383.71)</t>
    </r>
  </si>
  <si>
    <r>
      <t>ENYEQQLQQPK</t>
    </r>
    <r>
      <rPr>
        <sz val="11"/>
        <color rgb="FF000000"/>
        <rFont val="Calibri"/>
        <family val="2"/>
      </rPr>
      <t>†</t>
    </r>
  </si>
  <si>
    <r>
      <t>KFHIVFFCGENYEQQLQQPK</t>
    </r>
    <r>
      <rPr>
        <sz val="11"/>
        <color rgb="FF000000"/>
        <rFont val="Calibri"/>
        <family val="2"/>
      </rPr>
      <t>‡</t>
    </r>
  </si>
  <si>
    <t>T4</t>
  </si>
  <si>
    <t>T6</t>
  </si>
  <si>
    <t>T8</t>
  </si>
  <si>
    <t>T10</t>
  </si>
  <si>
    <t>T12</t>
  </si>
  <si>
    <t>T12'</t>
  </si>
  <si>
    <t>T36</t>
  </si>
  <si>
    <t>T38</t>
  </si>
  <si>
    <t>T40*</t>
  </si>
  <si>
    <t>T40</t>
  </si>
  <si>
    <t>T14</t>
  </si>
  <si>
    <t>T16</t>
  </si>
  <si>
    <t>T18</t>
  </si>
  <si>
    <t>T24</t>
  </si>
  <si>
    <t>T26</t>
  </si>
  <si>
    <t>T20</t>
  </si>
  <si>
    <t>T22</t>
  </si>
  <si>
    <t>T28</t>
  </si>
  <si>
    <t>T28'</t>
  </si>
  <si>
    <t>T30</t>
  </si>
  <si>
    <t>T32</t>
  </si>
  <si>
    <t>T34</t>
  </si>
  <si>
    <t>T2</t>
  </si>
  <si>
    <r>
      <rPr>
        <vertAlign val="superscript"/>
        <sz val="10"/>
        <color rgb="FF333333"/>
        <rFont val="Arial"/>
        <family val="2"/>
      </rPr>
      <t>1</t>
    </r>
    <r>
      <rPr>
        <sz val="10"/>
        <color rgb="FF333333"/>
        <rFont val="Arial"/>
        <family val="2"/>
      </rPr>
      <t xml:space="preserve"> Li X-H, de Castro-Borges W, Parker-Manuel S, Vance GM, DeMarco R, Neves LX, </t>
    </r>
    <r>
      <rPr>
        <i/>
        <sz val="10"/>
        <color rgb="FF333333"/>
        <rFont val="Arial"/>
        <family val="2"/>
      </rPr>
      <t>et al</t>
    </r>
    <r>
      <rPr>
        <sz val="10"/>
        <color rgb="FF333333"/>
        <rFont val="Arial"/>
        <family val="2"/>
      </rPr>
      <t>. (2013) The Schistosome Oesophageal Gland: Initiator of Blood Processing. PLoS Negl Trop Dis 7(7): e2337. https://doi.org/10.1371/journal.pntd.0002337</t>
    </r>
  </si>
  <si>
    <r>
      <t xml:space="preserve">Gland cells per esophageal fragment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</si>
  <si>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Gland cells per µg of ESO</t>
  </si>
  <si>
    <r>
      <t>Average mol/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 of ESO preparation</t>
    </r>
  </si>
  <si>
    <t>Number of molecules/µg of ESO preparation</t>
  </si>
  <si>
    <t>Anterior oesophageal gland (Ant ESO)</t>
  </si>
  <si>
    <t>Posterior oesophageal gland (Post ESO)</t>
  </si>
  <si>
    <t>MEG-4.2 (Post ESO)</t>
  </si>
  <si>
    <t>MEG-15 (Post ESO)</t>
  </si>
  <si>
    <t>MEG-8.2 (Post ESO)</t>
  </si>
  <si>
    <t>VAL-7 (Post ESO)</t>
  </si>
  <si>
    <t>Palmitoyl thioesterase (Post ESO)</t>
  </si>
  <si>
    <t>Aspartyl protease (Post ESO)</t>
  </si>
  <si>
    <r>
      <rPr>
        <sz val="11"/>
        <color theme="1"/>
        <rFont val="Calibri"/>
        <family val="2"/>
      </rPr>
      <t>β-</t>
    </r>
    <r>
      <rPr>
        <sz val="11"/>
        <color theme="1"/>
        <rFont val="Calibri"/>
        <family val="2"/>
        <scheme val="minor"/>
      </rPr>
      <t>1,3-N-galactosyltransferase (Post ESO)</t>
    </r>
  </si>
  <si>
    <t>MEG-12 (Ant ESO)</t>
  </si>
  <si>
    <r>
      <rPr>
        <vertAlign val="superscript"/>
        <sz val="10"/>
        <color rgb="FF333333"/>
        <rFont val="Arial"/>
        <family val="2"/>
      </rPr>
      <t xml:space="preserve">2 </t>
    </r>
    <r>
      <rPr>
        <sz val="10"/>
        <color rgb="FF333333"/>
        <rFont val="Arial"/>
        <family val="2"/>
      </rPr>
      <t>Wilson RA, Li XH, MacDonald S, Neves LX, Vitoriano-Souza J, Leite LCC, et al. (2015) The Schistosome Esophagus Is a ‘Hotspot’ for Microexon and Lysosomal Hydrolase Gene Expression: Implications for Blood Processing. PLoS Negl Trop Dis 9(12): e0004272. https://doi.org/10.1371/journal.pntd.0004272</t>
    </r>
  </si>
  <si>
    <t>Palm thioest</t>
  </si>
  <si>
    <t>#values</t>
  </si>
  <si>
    <t>Median (fmol)</t>
  </si>
  <si>
    <t>β-1,3-GalTase</t>
  </si>
  <si>
    <t>Average CV</t>
  </si>
  <si>
    <t>Median (ng)</t>
  </si>
  <si>
    <t>Average (ng)</t>
  </si>
  <si>
    <t>EsoCAT spiked in (fmol/µg)</t>
  </si>
  <si>
    <t>2.18%</t>
  </si>
  <si>
    <t>9.16 ±3.61</t>
  </si>
  <si>
    <t>QINDGTSDKPK*</t>
  </si>
  <si>
    <r>
      <t>Description (site of expression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</si>
  <si>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MEG-4.1 (Post ESO) - canonical form</t>
  </si>
  <si>
    <t xml:space="preserve"> proteoform subset</t>
  </si>
  <si>
    <t>MEG-4.1 - canonical form</t>
  </si>
  <si>
    <r>
      <t xml:space="preserve">MEG-4.1 - </t>
    </r>
    <r>
      <rPr>
        <i/>
        <sz val="11"/>
        <color theme="1"/>
        <rFont val="Calibri"/>
        <family val="2"/>
        <scheme val="minor"/>
      </rPr>
      <t>proteoform subset</t>
    </r>
  </si>
  <si>
    <t>Copies per esophageal gland cell</t>
  </si>
  <si>
    <t>Peak detection by mProphet (FDR &lt;0.05)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</si>
</sst>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0.0E+00"/>
    <numFmt numFmtId="167" formatCode="0E+00"/>
    <numFmt numFmtId="168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0"/>
      <color rgb="FF333333"/>
      <name val="Arial"/>
      <family val="2"/>
    </font>
    <font>
      <i/>
      <sz val="10"/>
      <color rgb="FF333333"/>
      <name val="Arial"/>
      <family val="2"/>
    </font>
    <font>
      <vertAlign val="superscript"/>
      <sz val="10"/>
      <color rgb="FF333333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167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2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0" fillId="0" borderId="10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0" xfId="0" quotePrefix="1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2" fontId="14" fillId="0" borderId="0" xfId="0" quotePrefix="1" applyNumberFormat="1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2" fontId="14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11" fontId="0" fillId="0" borderId="0" xfId="0" applyNumberFormat="1"/>
    <xf numFmtId="0" fontId="33" fillId="0" borderId="0" xfId="0" applyFont="1"/>
    <xf numFmtId="11" fontId="33" fillId="0" borderId="0" xfId="0" applyNumberFormat="1" applyFont="1"/>
    <xf numFmtId="0" fontId="16" fillId="0" borderId="0" xfId="0" applyFont="1"/>
    <xf numFmtId="1" fontId="16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center"/>
    </xf>
    <xf numFmtId="11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left" vertical="center"/>
    </xf>
    <xf numFmtId="1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26" fillId="0" borderId="0" xfId="0" applyFont="1" applyAlignment="1">
      <alignment horizontal="center" vertical="center"/>
    </xf>
    <xf numFmtId="10" fontId="0" fillId="0" borderId="0" xfId="42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0" xfId="42" applyFont="1" applyAlignment="1">
      <alignment vertical="center"/>
    </xf>
    <xf numFmtId="0" fontId="40" fillId="0" borderId="0" xfId="0" applyFont="1" applyAlignment="1">
      <alignment horizontal="right"/>
    </xf>
    <xf numFmtId="2" fontId="24" fillId="0" borderId="0" xfId="0" applyNumberFormat="1" applyFont="1" applyAlignment="1">
      <alignment horizontal="center" vertical="center"/>
    </xf>
    <xf numFmtId="168" fontId="24" fillId="0" borderId="0" xfId="42" applyNumberFormat="1" applyFont="1" applyAlignment="1">
      <alignment horizontal="center" vertical="center"/>
    </xf>
    <xf numFmtId="0" fontId="0" fillId="0" borderId="0" xfId="0" applyAlignment="1">
      <alignment horizontal="left"/>
    </xf>
    <xf numFmtId="168" fontId="0" fillId="0" borderId="0" xfId="42" applyNumberFormat="1" applyFont="1"/>
    <xf numFmtId="168" fontId="0" fillId="0" borderId="0" xfId="42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2" fontId="0" fillId="0" borderId="0" xfId="42" applyNumberFormat="1" applyFont="1" applyAlignment="1">
      <alignment horizontal="center"/>
    </xf>
    <xf numFmtId="0" fontId="35" fillId="0" borderId="0" xfId="0" applyFont="1" applyAlignment="1">
      <alignment vertical="top" wrapText="1"/>
    </xf>
    <xf numFmtId="0" fontId="0" fillId="0" borderId="0" xfId="0" applyAlignment="1">
      <alignment horizontal="center"/>
    </xf>
    <xf numFmtId="164" fontId="20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165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165" fontId="20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4F4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4"/>
  <sheetViews>
    <sheetView tabSelected="1" zoomScale="80" zoomScaleNormal="80" workbookViewId="0">
      <pane xSplit="2" ySplit="1" topLeftCell="C2" activePane="bottomRight" state="frozenSplit"/>
      <selection pane="topRight" activeCell="H1" sqref="H1"/>
      <selection pane="bottomLeft" activeCell="A7" sqref="A7"/>
      <selection pane="bottomRight"/>
    </sheetView>
  </sheetViews>
  <sheetFormatPr defaultRowHeight="15.75" x14ac:dyDescent="0.25"/>
  <cols>
    <col min="1" max="1" width="19.28515625" style="5" bestFit="1" customWidth="1"/>
    <col min="2" max="2" width="32.140625" style="5" bestFit="1" customWidth="1"/>
    <col min="3" max="3" width="2.7109375" style="7" bestFit="1" customWidth="1"/>
    <col min="4" max="4" width="10" style="6" bestFit="1" customWidth="1"/>
    <col min="5" max="6" width="8.28515625" style="7" customWidth="1"/>
    <col min="7" max="7" width="14.5703125" style="6" customWidth="1"/>
    <col min="8" max="8" width="8.85546875" style="7" customWidth="1"/>
    <col min="9" max="9" width="15.5703125" style="7" customWidth="1"/>
    <col min="10" max="10" width="13.5703125" style="7" customWidth="1"/>
    <col min="11" max="11" width="18.5703125" style="6" customWidth="1"/>
    <col min="12" max="12" width="10.85546875" style="6" customWidth="1"/>
    <col min="13" max="13" width="17.5703125" style="6" customWidth="1"/>
    <col min="14" max="14" width="11.85546875" style="6" customWidth="1"/>
    <col min="15" max="15" width="10.85546875" style="6" customWidth="1"/>
    <col min="16" max="16" width="7.7109375" style="6" bestFit="1" customWidth="1"/>
    <col min="17" max="17" width="6.7109375" style="6" bestFit="1" customWidth="1"/>
    <col min="18" max="18" width="13" style="7" customWidth="1"/>
    <col min="19" max="19" width="12" style="7" customWidth="1"/>
    <col min="20" max="22" width="9.140625" style="7"/>
    <col min="23" max="16384" width="9.140625" style="6"/>
  </cols>
  <sheetData>
    <row r="1" spans="1:19" s="4" customFormat="1" ht="51.75" customHeight="1" x14ac:dyDescent="0.25">
      <c r="A1" s="15" t="s">
        <v>31</v>
      </c>
      <c r="B1" s="15" t="s">
        <v>32</v>
      </c>
      <c r="C1" s="24" t="s">
        <v>28</v>
      </c>
      <c r="D1" s="4" t="s">
        <v>33</v>
      </c>
      <c r="E1" s="4" t="s">
        <v>50</v>
      </c>
      <c r="F1" s="4" t="s">
        <v>51</v>
      </c>
      <c r="G1" s="4" t="s">
        <v>243</v>
      </c>
      <c r="H1" s="4" t="s">
        <v>58</v>
      </c>
      <c r="I1" s="4" t="s">
        <v>53</v>
      </c>
      <c r="J1" s="4" t="s">
        <v>42</v>
      </c>
      <c r="K1" s="4" t="s">
        <v>34</v>
      </c>
      <c r="L1" s="4" t="s">
        <v>52</v>
      </c>
      <c r="M1" s="4" t="s">
        <v>35</v>
      </c>
      <c r="N1" s="4" t="s">
        <v>36</v>
      </c>
      <c r="O1" s="4" t="s">
        <v>37</v>
      </c>
      <c r="P1" s="4" t="s">
        <v>38</v>
      </c>
      <c r="Q1" s="4" t="s">
        <v>29</v>
      </c>
      <c r="R1" s="4" t="s">
        <v>43</v>
      </c>
      <c r="S1" s="4" t="s">
        <v>44</v>
      </c>
    </row>
    <row r="2" spans="1:19" x14ac:dyDescent="0.25">
      <c r="A2" s="5" t="s">
        <v>48</v>
      </c>
      <c r="B2" s="5" t="s">
        <v>15</v>
      </c>
      <c r="C2" s="7">
        <v>2</v>
      </c>
      <c r="D2" s="7" t="s">
        <v>54</v>
      </c>
      <c r="E2" s="16">
        <v>466463</v>
      </c>
      <c r="F2" s="16">
        <v>82280832</v>
      </c>
      <c r="G2" s="11">
        <v>146.79976512037581</v>
      </c>
      <c r="H2" s="7">
        <v>1</v>
      </c>
      <c r="I2" s="10">
        <f t="shared" ref="I2:I65" si="0">G2/H2</f>
        <v>146.79976512037581</v>
      </c>
      <c r="J2" s="11">
        <v>5.7000000000000002E-3</v>
      </c>
      <c r="K2" s="10">
        <f t="shared" ref="K2:K33" si="1">J2*I2</f>
        <v>0.83675866118614217</v>
      </c>
      <c r="L2" s="9">
        <v>43340.61</v>
      </c>
      <c r="M2" s="17">
        <f t="shared" ref="M2:M65" si="2">L2*K2/1000000</f>
        <v>3.6265630798590728E-2</v>
      </c>
      <c r="N2" s="8">
        <v>1.8700000000000001E-5</v>
      </c>
      <c r="O2" s="11">
        <v>3.87</v>
      </c>
      <c r="P2" s="7" t="s">
        <v>39</v>
      </c>
      <c r="Q2" s="11">
        <v>46.2</v>
      </c>
      <c r="R2" s="7">
        <v>19</v>
      </c>
      <c r="S2" s="7">
        <v>19</v>
      </c>
    </row>
    <row r="3" spans="1:19" x14ac:dyDescent="0.25">
      <c r="A3" s="5" t="s">
        <v>48</v>
      </c>
      <c r="B3" s="5" t="s">
        <v>15</v>
      </c>
      <c r="C3" s="7">
        <v>2</v>
      </c>
      <c r="D3" s="7" t="s">
        <v>55</v>
      </c>
      <c r="E3" s="16">
        <v>502856</v>
      </c>
      <c r="F3" s="16">
        <v>85891520</v>
      </c>
      <c r="G3" s="11">
        <v>176.74089784376105</v>
      </c>
      <c r="H3" s="7">
        <v>1</v>
      </c>
      <c r="I3" s="10">
        <f t="shared" si="0"/>
        <v>176.74089784376105</v>
      </c>
      <c r="J3" s="11">
        <v>5.8999999999999999E-3</v>
      </c>
      <c r="K3" s="10">
        <f t="shared" si="1"/>
        <v>1.0427712972781902</v>
      </c>
      <c r="L3" s="9">
        <v>43340.61</v>
      </c>
      <c r="M3" s="17">
        <f t="shared" si="2"/>
        <v>4.51943441145281E-2</v>
      </c>
      <c r="N3" s="8">
        <v>1.6399999999999999E-5</v>
      </c>
      <c r="O3" s="11">
        <v>3.91</v>
      </c>
      <c r="P3" s="7" t="s">
        <v>39</v>
      </c>
      <c r="Q3" s="11">
        <v>46.16</v>
      </c>
      <c r="R3" s="7">
        <v>21</v>
      </c>
      <c r="S3" s="7">
        <v>21</v>
      </c>
    </row>
    <row r="4" spans="1:19" x14ac:dyDescent="0.25">
      <c r="A4" s="5" t="s">
        <v>48</v>
      </c>
      <c r="B4" s="5" t="s">
        <v>15</v>
      </c>
      <c r="C4" s="7">
        <v>2</v>
      </c>
      <c r="D4" s="7" t="s">
        <v>56</v>
      </c>
      <c r="E4" s="16">
        <v>516257</v>
      </c>
      <c r="F4" s="16">
        <v>85506136</v>
      </c>
      <c r="G4" s="11">
        <v>181.22508155128671</v>
      </c>
      <c r="H4" s="7">
        <v>1</v>
      </c>
      <c r="I4" s="10">
        <f t="shared" si="0"/>
        <v>181.22508155128671</v>
      </c>
      <c r="J4" s="11">
        <v>6.0000000000000001E-3</v>
      </c>
      <c r="K4" s="10">
        <f t="shared" si="1"/>
        <v>1.0873504893077202</v>
      </c>
      <c r="L4" s="9">
        <v>43340.61</v>
      </c>
      <c r="M4" s="17">
        <f t="shared" si="2"/>
        <v>4.7126433490395074E-2</v>
      </c>
      <c r="N4" s="8">
        <v>1.6399999999999999E-5</v>
      </c>
      <c r="O4" s="11">
        <v>3.91</v>
      </c>
      <c r="P4" s="7" t="s">
        <v>39</v>
      </c>
      <c r="Q4" s="11">
        <v>46.26</v>
      </c>
      <c r="R4" s="7">
        <v>20</v>
      </c>
      <c r="S4" s="7">
        <v>20</v>
      </c>
    </row>
    <row r="5" spans="1:19" x14ac:dyDescent="0.25">
      <c r="A5" s="5" t="s">
        <v>48</v>
      </c>
      <c r="B5" s="5" t="s">
        <v>15</v>
      </c>
      <c r="C5" s="7">
        <v>2</v>
      </c>
      <c r="D5" s="7" t="s">
        <v>57</v>
      </c>
      <c r="E5" s="16">
        <v>465396</v>
      </c>
      <c r="F5" s="16">
        <v>74515456</v>
      </c>
      <c r="G5" s="11">
        <v>173.79214459506429</v>
      </c>
      <c r="H5" s="7">
        <v>1</v>
      </c>
      <c r="I5" s="10">
        <f t="shared" si="0"/>
        <v>173.79214459506429</v>
      </c>
      <c r="J5" s="11">
        <v>6.1999999999999998E-3</v>
      </c>
      <c r="K5" s="10">
        <f t="shared" si="1"/>
        <v>1.0775112964893985</v>
      </c>
      <c r="L5" s="9">
        <v>43340.61</v>
      </c>
      <c r="M5" s="17">
        <f t="shared" si="2"/>
        <v>4.6699996871741388E-2</v>
      </c>
      <c r="N5" s="8">
        <v>3.1000000000000001E-5</v>
      </c>
      <c r="O5" s="11">
        <v>3.68</v>
      </c>
      <c r="P5" s="7" t="s">
        <v>39</v>
      </c>
      <c r="Q5" s="11">
        <v>46.36</v>
      </c>
      <c r="R5" s="7">
        <v>20</v>
      </c>
      <c r="S5" s="7">
        <v>20</v>
      </c>
    </row>
    <row r="6" spans="1:19" x14ac:dyDescent="0.25">
      <c r="A6" s="5" t="s">
        <v>48</v>
      </c>
      <c r="B6" s="5" t="s">
        <v>15</v>
      </c>
      <c r="C6" s="7">
        <v>2</v>
      </c>
      <c r="D6" s="7" t="s">
        <v>54</v>
      </c>
      <c r="E6" s="16">
        <v>346414</v>
      </c>
      <c r="F6" s="16">
        <v>9947878</v>
      </c>
      <c r="G6" s="11">
        <v>146.79976512037581</v>
      </c>
      <c r="H6" s="7">
        <v>10</v>
      </c>
      <c r="I6" s="10">
        <f t="shared" si="0"/>
        <v>14.67997651203758</v>
      </c>
      <c r="J6" s="11">
        <v>3.4799999999999998E-2</v>
      </c>
      <c r="K6" s="10">
        <f t="shared" si="1"/>
        <v>0.51086318261890773</v>
      </c>
      <c r="L6" s="9">
        <v>43340.61</v>
      </c>
      <c r="M6" s="17">
        <f t="shared" si="2"/>
        <v>2.2141121961244858E-2</v>
      </c>
      <c r="N6" s="8">
        <v>1.3799999999999999E-4</v>
      </c>
      <c r="O6" s="11">
        <v>3.15</v>
      </c>
      <c r="P6" s="7" t="s">
        <v>39</v>
      </c>
      <c r="Q6" s="11">
        <v>46.11</v>
      </c>
      <c r="R6" s="7">
        <v>18</v>
      </c>
      <c r="S6" s="7">
        <v>18</v>
      </c>
    </row>
    <row r="7" spans="1:19" x14ac:dyDescent="0.25">
      <c r="A7" s="5" t="s">
        <v>48</v>
      </c>
      <c r="B7" s="5" t="s">
        <v>15</v>
      </c>
      <c r="C7" s="7">
        <v>2</v>
      </c>
      <c r="D7" s="7" t="s">
        <v>55</v>
      </c>
      <c r="E7" s="16">
        <v>498037</v>
      </c>
      <c r="F7" s="16">
        <v>11390830</v>
      </c>
      <c r="G7" s="11">
        <v>176.74089784376105</v>
      </c>
      <c r="H7" s="7">
        <v>10</v>
      </c>
      <c r="I7" s="10">
        <f t="shared" si="0"/>
        <v>17.674089784376104</v>
      </c>
      <c r="J7" s="11">
        <v>4.3700000000000003E-2</v>
      </c>
      <c r="K7" s="10">
        <f t="shared" si="1"/>
        <v>0.77235772357723576</v>
      </c>
      <c r="L7" s="9">
        <v>43340.61</v>
      </c>
      <c r="M7" s="17">
        <f t="shared" si="2"/>
        <v>3.347445487804878E-2</v>
      </c>
      <c r="N7" s="8">
        <v>1.18E-4</v>
      </c>
      <c r="O7" s="11">
        <v>3.21</v>
      </c>
      <c r="P7" s="7" t="s">
        <v>39</v>
      </c>
      <c r="Q7" s="11">
        <v>45.86</v>
      </c>
      <c r="R7" s="7">
        <v>15</v>
      </c>
      <c r="S7" s="7">
        <v>15</v>
      </c>
    </row>
    <row r="8" spans="1:19" x14ac:dyDescent="0.25">
      <c r="A8" s="5" t="s">
        <v>48</v>
      </c>
      <c r="B8" s="5" t="s">
        <v>15</v>
      </c>
      <c r="C8" s="7">
        <v>2</v>
      </c>
      <c r="D8" s="7" t="s">
        <v>56</v>
      </c>
      <c r="E8" s="16">
        <v>456721</v>
      </c>
      <c r="F8" s="16">
        <v>12466878</v>
      </c>
      <c r="G8" s="11">
        <v>181.22508155128671</v>
      </c>
      <c r="H8" s="7">
        <v>10</v>
      </c>
      <c r="I8" s="10">
        <f t="shared" si="0"/>
        <v>18.122508155128671</v>
      </c>
      <c r="J8" s="11">
        <v>3.6600000000000001E-2</v>
      </c>
      <c r="K8" s="10">
        <f t="shared" si="1"/>
        <v>0.66328379847770935</v>
      </c>
      <c r="L8" s="9">
        <v>43340.61</v>
      </c>
      <c r="M8" s="17">
        <f t="shared" si="2"/>
        <v>2.8747124429140996E-2</v>
      </c>
      <c r="N8" s="8">
        <v>1.18E-4</v>
      </c>
      <c r="O8" s="11">
        <v>3.21</v>
      </c>
      <c r="P8" s="7" t="s">
        <v>39</v>
      </c>
      <c r="Q8" s="11">
        <v>46.21</v>
      </c>
      <c r="R8" s="7">
        <v>17</v>
      </c>
      <c r="S8" s="7">
        <v>17</v>
      </c>
    </row>
    <row r="9" spans="1:19" x14ac:dyDescent="0.25">
      <c r="A9" s="5" t="s">
        <v>48</v>
      </c>
      <c r="B9" s="5" t="s">
        <v>15</v>
      </c>
      <c r="C9" s="7">
        <v>2</v>
      </c>
      <c r="D9" s="7" t="s">
        <v>57</v>
      </c>
      <c r="E9" s="16">
        <v>432851</v>
      </c>
      <c r="F9" s="16">
        <v>11729250</v>
      </c>
      <c r="G9" s="11">
        <v>173.79214459506429</v>
      </c>
      <c r="H9" s="7">
        <v>10</v>
      </c>
      <c r="I9" s="10">
        <f t="shared" si="0"/>
        <v>17.379214459506429</v>
      </c>
      <c r="J9" s="11">
        <v>3.6900000000000002E-2</v>
      </c>
      <c r="K9" s="10">
        <f t="shared" si="1"/>
        <v>0.64129301355578727</v>
      </c>
      <c r="L9" s="9">
        <v>43340.61</v>
      </c>
      <c r="M9" s="17">
        <f t="shared" si="2"/>
        <v>2.7794030396246089E-2</v>
      </c>
      <c r="N9" s="8">
        <v>1.18E-4</v>
      </c>
      <c r="O9" s="11">
        <v>3.21</v>
      </c>
      <c r="P9" s="7" t="s">
        <v>39</v>
      </c>
      <c r="Q9" s="11">
        <v>46.3</v>
      </c>
      <c r="R9" s="7">
        <v>20</v>
      </c>
      <c r="S9" s="7">
        <v>20</v>
      </c>
    </row>
    <row r="10" spans="1:19" x14ac:dyDescent="0.25">
      <c r="A10" s="5" t="s">
        <v>48</v>
      </c>
      <c r="B10" s="5" t="s">
        <v>66</v>
      </c>
      <c r="C10" s="7">
        <v>2</v>
      </c>
      <c r="D10" s="7" t="s">
        <v>54</v>
      </c>
      <c r="E10" s="16">
        <v>343939</v>
      </c>
      <c r="F10" s="16">
        <v>783839</v>
      </c>
      <c r="G10" s="11">
        <v>146.79976512037581</v>
      </c>
      <c r="H10" s="7">
        <v>100</v>
      </c>
      <c r="I10" s="10">
        <f t="shared" si="0"/>
        <v>1.467997651203758</v>
      </c>
      <c r="J10" s="11">
        <v>0.43880000000000002</v>
      </c>
      <c r="K10" s="10">
        <f t="shared" si="1"/>
        <v>0.64415736934820911</v>
      </c>
      <c r="L10" s="9">
        <v>43340.61</v>
      </c>
      <c r="M10" s="17">
        <f t="shared" si="2"/>
        <v>2.7918173323546687E-2</v>
      </c>
      <c r="N10" s="8">
        <v>8.3500000000000002E-4</v>
      </c>
      <c r="O10" s="11">
        <v>2.4500000000000002</v>
      </c>
      <c r="P10" s="7" t="s">
        <v>39</v>
      </c>
      <c r="Q10" s="11">
        <v>46.09</v>
      </c>
      <c r="R10" s="7">
        <v>16</v>
      </c>
      <c r="S10" s="7">
        <v>16</v>
      </c>
    </row>
    <row r="11" spans="1:19" x14ac:dyDescent="0.25">
      <c r="A11" s="5" t="s">
        <v>48</v>
      </c>
      <c r="B11" s="5" t="s">
        <v>66</v>
      </c>
      <c r="C11" s="7">
        <v>2</v>
      </c>
      <c r="D11" s="7" t="s">
        <v>55</v>
      </c>
      <c r="E11" s="16">
        <v>400946</v>
      </c>
      <c r="F11" s="16">
        <v>876013</v>
      </c>
      <c r="G11" s="11">
        <v>176.74089784376105</v>
      </c>
      <c r="H11" s="7">
        <v>100</v>
      </c>
      <c r="I11" s="10">
        <f t="shared" si="0"/>
        <v>1.7674089784376106</v>
      </c>
      <c r="J11" s="11">
        <v>0.4577</v>
      </c>
      <c r="K11" s="10">
        <f t="shared" si="1"/>
        <v>0.80894308943089432</v>
      </c>
      <c r="L11" s="9">
        <v>43340.61</v>
      </c>
      <c r="M11" s="17">
        <f t="shared" si="2"/>
        <v>3.506008695121951E-2</v>
      </c>
      <c r="N11" s="8">
        <v>5.6300000000000002E-4</v>
      </c>
      <c r="O11" s="11">
        <v>2.63</v>
      </c>
      <c r="P11" s="7" t="s">
        <v>39</v>
      </c>
      <c r="Q11" s="11">
        <v>46.11</v>
      </c>
      <c r="R11" s="7">
        <v>16</v>
      </c>
      <c r="S11" s="7">
        <v>16</v>
      </c>
    </row>
    <row r="12" spans="1:19" x14ac:dyDescent="0.25">
      <c r="A12" s="5" t="s">
        <v>48</v>
      </c>
      <c r="B12" s="5" t="s">
        <v>66</v>
      </c>
      <c r="C12" s="7">
        <v>2</v>
      </c>
      <c r="D12" s="7" t="s">
        <v>56</v>
      </c>
      <c r="E12" s="16">
        <v>393361</v>
      </c>
      <c r="F12" s="16">
        <v>978780</v>
      </c>
      <c r="G12" s="11">
        <v>181.22508155128671</v>
      </c>
      <c r="H12" s="7">
        <v>100</v>
      </c>
      <c r="I12" s="10">
        <f t="shared" si="0"/>
        <v>1.8122508155128672</v>
      </c>
      <c r="J12" s="11">
        <v>0.40189999999999998</v>
      </c>
      <c r="K12" s="10">
        <f t="shared" si="1"/>
        <v>0.72834360275462129</v>
      </c>
      <c r="L12" s="9">
        <v>43340.61</v>
      </c>
      <c r="M12" s="17">
        <f t="shared" si="2"/>
        <v>3.1566856032982968E-2</v>
      </c>
      <c r="N12" s="8">
        <v>8.5300000000000003E-4</v>
      </c>
      <c r="O12" s="11">
        <v>2.44</v>
      </c>
      <c r="P12" s="7" t="s">
        <v>39</v>
      </c>
      <c r="Q12" s="11">
        <v>46.38</v>
      </c>
      <c r="R12" s="7">
        <v>14</v>
      </c>
      <c r="S12" s="7">
        <v>14</v>
      </c>
    </row>
    <row r="13" spans="1:19" x14ac:dyDescent="0.25">
      <c r="A13" s="5" t="s">
        <v>48</v>
      </c>
      <c r="B13" s="5" t="s">
        <v>66</v>
      </c>
      <c r="C13" s="7">
        <v>2</v>
      </c>
      <c r="D13" s="7" t="s">
        <v>57</v>
      </c>
      <c r="E13" s="16">
        <v>354997</v>
      </c>
      <c r="F13" s="16">
        <v>826052</v>
      </c>
      <c r="G13" s="11">
        <v>173.79214459506429</v>
      </c>
      <c r="H13" s="7">
        <v>100</v>
      </c>
      <c r="I13" s="10">
        <f t="shared" si="0"/>
        <v>1.7379214459506429</v>
      </c>
      <c r="J13" s="11">
        <v>0.42980000000000002</v>
      </c>
      <c r="K13" s="10">
        <f t="shared" si="1"/>
        <v>0.74695863746958635</v>
      </c>
      <c r="L13" s="9">
        <v>43340.61</v>
      </c>
      <c r="M13" s="17">
        <f t="shared" si="2"/>
        <v>3.2373642992700728E-2</v>
      </c>
      <c r="N13" s="8">
        <v>5.4600000000000004E-4</v>
      </c>
      <c r="O13" s="11">
        <v>2.64</v>
      </c>
      <c r="P13" s="7" t="s">
        <v>39</v>
      </c>
      <c r="Q13" s="11">
        <v>46.09</v>
      </c>
      <c r="R13" s="7">
        <v>17</v>
      </c>
      <c r="S13" s="7">
        <v>17</v>
      </c>
    </row>
    <row r="14" spans="1:19" x14ac:dyDescent="0.25">
      <c r="A14" s="18" t="s">
        <v>30</v>
      </c>
      <c r="B14" s="5" t="s">
        <v>14</v>
      </c>
      <c r="C14" s="7">
        <v>2</v>
      </c>
      <c r="D14" s="7" t="s">
        <v>54</v>
      </c>
      <c r="E14" s="16">
        <v>2355778</v>
      </c>
      <c r="F14" s="16">
        <v>186937072</v>
      </c>
      <c r="G14" s="11">
        <v>146.79976512037581</v>
      </c>
      <c r="H14" s="7">
        <v>1</v>
      </c>
      <c r="I14" s="10">
        <f t="shared" si="0"/>
        <v>146.79976512037581</v>
      </c>
      <c r="J14" s="11">
        <v>1.26E-2</v>
      </c>
      <c r="K14" s="10">
        <f t="shared" si="1"/>
        <v>1.8496770405167353</v>
      </c>
      <c r="L14" s="21">
        <v>55466.89</v>
      </c>
      <c r="M14" s="17">
        <f t="shared" si="2"/>
        <v>0.10259583294186729</v>
      </c>
      <c r="N14" s="8">
        <v>4.8100000000000003E-7</v>
      </c>
      <c r="O14" s="11">
        <v>5.03</v>
      </c>
      <c r="P14" s="7" t="s">
        <v>39</v>
      </c>
      <c r="Q14" s="11">
        <v>34.229999999999997</v>
      </c>
      <c r="R14" s="7">
        <v>29</v>
      </c>
      <c r="S14" s="7">
        <v>29</v>
      </c>
    </row>
    <row r="15" spans="1:19" x14ac:dyDescent="0.25">
      <c r="A15" s="18" t="s">
        <v>30</v>
      </c>
      <c r="B15" s="5" t="s">
        <v>14</v>
      </c>
      <c r="C15" s="7">
        <v>2</v>
      </c>
      <c r="D15" s="7" t="s">
        <v>55</v>
      </c>
      <c r="E15" s="16">
        <v>2495767</v>
      </c>
      <c r="F15" s="16">
        <v>197273952</v>
      </c>
      <c r="G15" s="11">
        <v>176.74089784376105</v>
      </c>
      <c r="H15" s="7">
        <v>1</v>
      </c>
      <c r="I15" s="10">
        <f t="shared" si="0"/>
        <v>176.74089784376105</v>
      </c>
      <c r="J15" s="11">
        <v>1.2699999999999999E-2</v>
      </c>
      <c r="K15" s="10">
        <f t="shared" si="1"/>
        <v>2.2446094026157652</v>
      </c>
      <c r="L15" s="21">
        <v>55466.89</v>
      </c>
      <c r="M15" s="17">
        <f t="shared" si="2"/>
        <v>0.12450150282785435</v>
      </c>
      <c r="N15" s="8">
        <v>4.8100000000000003E-7</v>
      </c>
      <c r="O15" s="11">
        <v>4.99</v>
      </c>
      <c r="P15" s="7" t="s">
        <v>39</v>
      </c>
      <c r="Q15" s="11">
        <v>33.81</v>
      </c>
      <c r="R15" s="7">
        <v>35</v>
      </c>
      <c r="S15" s="7">
        <v>35</v>
      </c>
    </row>
    <row r="16" spans="1:19" x14ac:dyDescent="0.25">
      <c r="A16" s="18" t="s">
        <v>30</v>
      </c>
      <c r="B16" s="5" t="s">
        <v>14</v>
      </c>
      <c r="C16" s="7">
        <v>2</v>
      </c>
      <c r="D16" s="7" t="s">
        <v>56</v>
      </c>
      <c r="E16" s="16">
        <v>2334784</v>
      </c>
      <c r="F16" s="16">
        <v>186158976</v>
      </c>
      <c r="G16" s="11">
        <v>181.22508155128671</v>
      </c>
      <c r="H16" s="7">
        <v>1</v>
      </c>
      <c r="I16" s="10">
        <f t="shared" si="0"/>
        <v>181.22508155128671</v>
      </c>
      <c r="J16" s="11">
        <v>1.2500000000000001E-2</v>
      </c>
      <c r="K16" s="10">
        <f t="shared" si="1"/>
        <v>2.2653135193910838</v>
      </c>
      <c r="L16" s="21">
        <v>55466.89</v>
      </c>
      <c r="M16" s="17">
        <f t="shared" si="2"/>
        <v>0.12564989579557811</v>
      </c>
      <c r="N16" s="8">
        <v>4.8100000000000003E-7</v>
      </c>
      <c r="O16" s="11">
        <v>5</v>
      </c>
      <c r="P16" s="7" t="s">
        <v>39</v>
      </c>
      <c r="Q16" s="11">
        <v>34.04</v>
      </c>
      <c r="R16" s="7">
        <v>31</v>
      </c>
      <c r="S16" s="7">
        <v>31</v>
      </c>
    </row>
    <row r="17" spans="1:19" x14ac:dyDescent="0.25">
      <c r="A17" s="18" t="s">
        <v>30</v>
      </c>
      <c r="B17" s="5" t="s">
        <v>14</v>
      </c>
      <c r="C17" s="7">
        <v>2</v>
      </c>
      <c r="D17" s="7" t="s">
        <v>57</v>
      </c>
      <c r="E17" s="16">
        <v>2250059</v>
      </c>
      <c r="F17" s="16">
        <v>183356592</v>
      </c>
      <c r="G17" s="11">
        <v>173.79214459506429</v>
      </c>
      <c r="H17" s="7">
        <v>1</v>
      </c>
      <c r="I17" s="10">
        <f t="shared" si="0"/>
        <v>173.79214459506429</v>
      </c>
      <c r="J17" s="11">
        <v>1.23E-2</v>
      </c>
      <c r="K17" s="10">
        <f t="shared" si="1"/>
        <v>2.1376433785192908</v>
      </c>
      <c r="L17" s="21">
        <v>55466.89</v>
      </c>
      <c r="M17" s="17">
        <f t="shared" si="2"/>
        <v>0.11856843013555786</v>
      </c>
      <c r="N17" s="8">
        <v>7.1399999999999996E-7</v>
      </c>
      <c r="O17" s="11">
        <v>4.87</v>
      </c>
      <c r="P17" s="7" t="s">
        <v>39</v>
      </c>
      <c r="Q17" s="11">
        <v>34.32</v>
      </c>
      <c r="R17" s="7">
        <v>32</v>
      </c>
      <c r="S17" s="7">
        <v>32</v>
      </c>
    </row>
    <row r="18" spans="1:19" x14ac:dyDescent="0.25">
      <c r="A18" s="18" t="s">
        <v>30</v>
      </c>
      <c r="B18" s="5" t="s">
        <v>14</v>
      </c>
      <c r="C18" s="7">
        <v>2</v>
      </c>
      <c r="D18" s="7" t="s">
        <v>54</v>
      </c>
      <c r="E18" s="16">
        <v>1889918</v>
      </c>
      <c r="F18" s="16">
        <v>24551476</v>
      </c>
      <c r="G18" s="11">
        <v>146.79976512037581</v>
      </c>
      <c r="H18" s="7">
        <v>10</v>
      </c>
      <c r="I18" s="10">
        <f t="shared" si="0"/>
        <v>14.67997651203758</v>
      </c>
      <c r="J18" s="11">
        <v>7.6999999999999999E-2</v>
      </c>
      <c r="K18" s="10">
        <f t="shared" si="1"/>
        <v>1.1303581914268936</v>
      </c>
      <c r="L18" s="21">
        <v>55466.89</v>
      </c>
      <c r="M18" s="17">
        <f t="shared" si="2"/>
        <v>6.2697453464474445E-2</v>
      </c>
      <c r="N18" s="8">
        <v>5.1800000000000004E-6</v>
      </c>
      <c r="O18" s="11">
        <v>4.28</v>
      </c>
      <c r="P18" s="7" t="s">
        <v>39</v>
      </c>
      <c r="Q18" s="11">
        <v>33.76</v>
      </c>
      <c r="R18" s="7">
        <v>35</v>
      </c>
      <c r="S18" s="7">
        <v>35</v>
      </c>
    </row>
    <row r="19" spans="1:19" x14ac:dyDescent="0.25">
      <c r="A19" s="18" t="s">
        <v>30</v>
      </c>
      <c r="B19" s="5" t="s">
        <v>14</v>
      </c>
      <c r="C19" s="7">
        <v>2</v>
      </c>
      <c r="D19" s="7" t="s">
        <v>55</v>
      </c>
      <c r="E19" s="16">
        <v>2290615</v>
      </c>
      <c r="F19" s="16">
        <v>26441922</v>
      </c>
      <c r="G19" s="11">
        <v>176.74089784376105</v>
      </c>
      <c r="H19" s="7">
        <v>10</v>
      </c>
      <c r="I19" s="10">
        <f t="shared" si="0"/>
        <v>17.674089784376104</v>
      </c>
      <c r="J19" s="11">
        <v>8.6599999999999996E-2</v>
      </c>
      <c r="K19" s="10">
        <f t="shared" si="1"/>
        <v>1.5305761753269704</v>
      </c>
      <c r="L19" s="21">
        <v>55466.89</v>
      </c>
      <c r="M19" s="17">
        <f t="shared" si="2"/>
        <v>8.4896300353481779E-2</v>
      </c>
      <c r="N19" s="8">
        <v>5.1800000000000004E-6</v>
      </c>
      <c r="O19" s="11">
        <v>4.29</v>
      </c>
      <c r="P19" s="7" t="s">
        <v>39</v>
      </c>
      <c r="Q19" s="11">
        <v>33.630000000000003</v>
      </c>
      <c r="R19" s="7">
        <v>35</v>
      </c>
      <c r="S19" s="7">
        <v>35</v>
      </c>
    </row>
    <row r="20" spans="1:19" x14ac:dyDescent="0.25">
      <c r="A20" s="18" t="s">
        <v>30</v>
      </c>
      <c r="B20" s="5" t="s">
        <v>14</v>
      </c>
      <c r="C20" s="7">
        <v>2</v>
      </c>
      <c r="D20" s="7" t="s">
        <v>56</v>
      </c>
      <c r="E20" s="16">
        <v>2161026</v>
      </c>
      <c r="F20" s="16">
        <v>27651272</v>
      </c>
      <c r="G20" s="11">
        <v>181.22508155128671</v>
      </c>
      <c r="H20" s="7">
        <v>10</v>
      </c>
      <c r="I20" s="10">
        <f t="shared" si="0"/>
        <v>18.122508155128671</v>
      </c>
      <c r="J20" s="11">
        <v>7.8200000000000006E-2</v>
      </c>
      <c r="K20" s="10">
        <f t="shared" si="1"/>
        <v>1.4171801377310622</v>
      </c>
      <c r="L20" s="21">
        <v>55466.89</v>
      </c>
      <c r="M20" s="17">
        <f t="shared" si="2"/>
        <v>7.8606574809713683E-2</v>
      </c>
      <c r="N20" s="8">
        <v>5.6400000000000002E-6</v>
      </c>
      <c r="O20" s="11">
        <v>4.25</v>
      </c>
      <c r="P20" s="7" t="s">
        <v>39</v>
      </c>
      <c r="Q20" s="11">
        <v>33.92</v>
      </c>
      <c r="R20" s="7">
        <v>35</v>
      </c>
      <c r="S20" s="7">
        <v>35</v>
      </c>
    </row>
    <row r="21" spans="1:19" x14ac:dyDescent="0.25">
      <c r="A21" s="18" t="s">
        <v>30</v>
      </c>
      <c r="B21" s="5" t="s">
        <v>14</v>
      </c>
      <c r="C21" s="7">
        <v>2</v>
      </c>
      <c r="D21" s="7" t="s">
        <v>57</v>
      </c>
      <c r="E21" s="16">
        <v>2002749</v>
      </c>
      <c r="F21" s="16">
        <v>26459626</v>
      </c>
      <c r="G21" s="11">
        <v>173.79214459506429</v>
      </c>
      <c r="H21" s="7">
        <v>10</v>
      </c>
      <c r="I21" s="10">
        <f t="shared" si="0"/>
        <v>17.379214459506429</v>
      </c>
      <c r="J21" s="11">
        <v>7.5700000000000003E-2</v>
      </c>
      <c r="K21" s="10">
        <f t="shared" si="1"/>
        <v>1.3156065345846366</v>
      </c>
      <c r="L21" s="21">
        <v>55466.89</v>
      </c>
      <c r="M21" s="17">
        <f t="shared" si="2"/>
        <v>7.2972602937087225E-2</v>
      </c>
      <c r="N21" s="8">
        <v>7.0099999999999998E-6</v>
      </c>
      <c r="O21" s="11">
        <v>4.18</v>
      </c>
      <c r="P21" s="7" t="s">
        <v>39</v>
      </c>
      <c r="Q21" s="11">
        <v>33.99</v>
      </c>
      <c r="R21" s="7">
        <v>34</v>
      </c>
      <c r="S21" s="7">
        <v>34</v>
      </c>
    </row>
    <row r="22" spans="1:19" x14ac:dyDescent="0.25">
      <c r="A22" s="18" t="s">
        <v>30</v>
      </c>
      <c r="B22" s="5" t="s">
        <v>65</v>
      </c>
      <c r="C22" s="7">
        <v>2</v>
      </c>
      <c r="D22" s="7" t="s">
        <v>54</v>
      </c>
      <c r="E22" s="16">
        <v>1328602</v>
      </c>
      <c r="F22" s="16">
        <v>1787685</v>
      </c>
      <c r="G22" s="11">
        <v>146.79976512037581</v>
      </c>
      <c r="H22" s="7">
        <v>100</v>
      </c>
      <c r="I22" s="10">
        <f t="shared" si="0"/>
        <v>1.467997651203758</v>
      </c>
      <c r="J22" s="11">
        <v>0.74319999999999997</v>
      </c>
      <c r="K22" s="10">
        <f t="shared" si="1"/>
        <v>1.0910158543746329</v>
      </c>
      <c r="L22" s="21">
        <v>55466.89</v>
      </c>
      <c r="M22" s="17">
        <f t="shared" si="2"/>
        <v>6.051525638285378E-2</v>
      </c>
      <c r="N22" s="8">
        <v>5.7800000000000002E-5</v>
      </c>
      <c r="O22" s="11">
        <v>3.49</v>
      </c>
      <c r="P22" s="7" t="s">
        <v>39</v>
      </c>
      <c r="Q22" s="11">
        <v>33.880000000000003</v>
      </c>
      <c r="R22" s="7">
        <v>40</v>
      </c>
      <c r="S22" s="7">
        <v>40</v>
      </c>
    </row>
    <row r="23" spans="1:19" x14ac:dyDescent="0.25">
      <c r="A23" s="18" t="s">
        <v>30</v>
      </c>
      <c r="B23" s="5" t="s">
        <v>65</v>
      </c>
      <c r="C23" s="7">
        <v>2</v>
      </c>
      <c r="D23" s="7" t="s">
        <v>55</v>
      </c>
      <c r="E23" s="16">
        <v>1890754</v>
      </c>
      <c r="F23" s="16">
        <v>2555052</v>
      </c>
      <c r="G23" s="11">
        <v>176.74089784376105</v>
      </c>
      <c r="H23" s="7">
        <v>100</v>
      </c>
      <c r="I23" s="10">
        <f t="shared" si="0"/>
        <v>1.7674089784376106</v>
      </c>
      <c r="J23" s="11">
        <v>0.74</v>
      </c>
      <c r="K23" s="10">
        <f t="shared" si="1"/>
        <v>1.3078826440438318</v>
      </c>
      <c r="L23" s="21">
        <v>55466.89</v>
      </c>
      <c r="M23" s="17">
        <f t="shared" si="2"/>
        <v>7.2544182750088365E-2</v>
      </c>
      <c r="N23" s="8">
        <v>2.7399999999999999E-5</v>
      </c>
      <c r="O23" s="11">
        <v>3.72</v>
      </c>
      <c r="P23" s="7" t="s">
        <v>39</v>
      </c>
      <c r="Q23" s="11">
        <v>33.729999999999997</v>
      </c>
      <c r="R23" s="7">
        <v>34</v>
      </c>
      <c r="S23" s="7">
        <v>34</v>
      </c>
    </row>
    <row r="24" spans="1:19" x14ac:dyDescent="0.25">
      <c r="A24" s="18" t="s">
        <v>30</v>
      </c>
      <c r="B24" s="5" t="s">
        <v>65</v>
      </c>
      <c r="C24" s="7">
        <v>2</v>
      </c>
      <c r="D24" s="7" t="s">
        <v>56</v>
      </c>
      <c r="E24" s="16">
        <v>1821759</v>
      </c>
      <c r="F24" s="16">
        <v>2639226</v>
      </c>
      <c r="G24" s="11">
        <v>181.22508155128671</v>
      </c>
      <c r="H24" s="7">
        <v>100</v>
      </c>
      <c r="I24" s="10">
        <f t="shared" si="0"/>
        <v>1.8122508155128672</v>
      </c>
      <c r="J24" s="11">
        <v>0.69030000000000002</v>
      </c>
      <c r="K24" s="10">
        <f t="shared" si="1"/>
        <v>1.2509967379485323</v>
      </c>
      <c r="L24" s="21">
        <v>55466.89</v>
      </c>
      <c r="M24" s="17">
        <f t="shared" si="2"/>
        <v>6.9388898454150069E-2</v>
      </c>
      <c r="N24" s="8">
        <v>2.9499999999999999E-5</v>
      </c>
      <c r="O24" s="11">
        <v>3.7</v>
      </c>
      <c r="P24" s="7" t="s">
        <v>39</v>
      </c>
      <c r="Q24" s="11">
        <v>34.200000000000003</v>
      </c>
      <c r="R24" s="7">
        <v>36</v>
      </c>
      <c r="S24" s="7">
        <v>36</v>
      </c>
    </row>
    <row r="25" spans="1:19" x14ac:dyDescent="0.25">
      <c r="A25" s="18" t="s">
        <v>30</v>
      </c>
      <c r="B25" s="5" t="s">
        <v>65</v>
      </c>
      <c r="C25" s="7">
        <v>2</v>
      </c>
      <c r="D25" s="7" t="s">
        <v>57</v>
      </c>
      <c r="E25" s="16">
        <v>1554248</v>
      </c>
      <c r="F25" s="16">
        <v>2217537</v>
      </c>
      <c r="G25" s="11">
        <v>173.79214459506429</v>
      </c>
      <c r="H25" s="7">
        <v>100</v>
      </c>
      <c r="I25" s="10">
        <f t="shared" si="0"/>
        <v>1.7379214459506429</v>
      </c>
      <c r="J25" s="11">
        <v>0.70089999999999997</v>
      </c>
      <c r="K25" s="10">
        <f t="shared" si="1"/>
        <v>1.2181091414668055</v>
      </c>
      <c r="L25" s="21">
        <v>55466.89</v>
      </c>
      <c r="M25" s="17">
        <f t="shared" si="2"/>
        <v>6.7564725757733743E-2</v>
      </c>
      <c r="N25" s="8">
        <v>4.4700000000000002E-5</v>
      </c>
      <c r="O25" s="11">
        <v>3.57</v>
      </c>
      <c r="P25" s="7" t="s">
        <v>39</v>
      </c>
      <c r="Q25" s="11">
        <v>33.97</v>
      </c>
      <c r="R25" s="7">
        <v>45</v>
      </c>
      <c r="S25" s="7">
        <v>45</v>
      </c>
    </row>
    <row r="26" spans="1:19" x14ac:dyDescent="0.25">
      <c r="A26" s="18" t="s">
        <v>30</v>
      </c>
      <c r="B26" s="5" t="s">
        <v>17</v>
      </c>
      <c r="C26" s="7">
        <v>3</v>
      </c>
      <c r="D26" s="7" t="s">
        <v>54</v>
      </c>
      <c r="E26" s="16">
        <v>12590</v>
      </c>
      <c r="F26" s="16">
        <v>4744305</v>
      </c>
      <c r="G26" s="11">
        <v>146.79976512037581</v>
      </c>
      <c r="H26" s="7">
        <v>1</v>
      </c>
      <c r="I26" s="10">
        <f t="shared" si="0"/>
        <v>146.79976512037581</v>
      </c>
      <c r="J26" s="11">
        <v>2.7000000000000001E-3</v>
      </c>
      <c r="K26" s="10">
        <f t="shared" si="1"/>
        <v>0.39635936582501469</v>
      </c>
      <c r="L26" s="21">
        <v>55466.89</v>
      </c>
      <c r="M26" s="17">
        <f t="shared" si="2"/>
        <v>2.1984821344685851E-2</v>
      </c>
      <c r="N26" s="8">
        <v>5.1000000000000004E-4</v>
      </c>
      <c r="O26" s="11">
        <v>2.68</v>
      </c>
      <c r="P26" s="7" t="s">
        <v>39</v>
      </c>
      <c r="Q26" s="11">
        <v>53.55</v>
      </c>
      <c r="R26" s="7">
        <v>16</v>
      </c>
      <c r="S26" s="7">
        <v>16</v>
      </c>
    </row>
    <row r="27" spans="1:19" x14ac:dyDescent="0.25">
      <c r="A27" s="18" t="s">
        <v>30</v>
      </c>
      <c r="B27" s="5" t="s">
        <v>17</v>
      </c>
      <c r="C27" s="7">
        <v>3</v>
      </c>
      <c r="D27" s="7" t="s">
        <v>55</v>
      </c>
      <c r="E27" s="16">
        <v>9264</v>
      </c>
      <c r="F27" s="16">
        <v>5290745</v>
      </c>
      <c r="G27" s="11">
        <v>176.74089784376105</v>
      </c>
      <c r="H27" s="7">
        <v>1</v>
      </c>
      <c r="I27" s="10">
        <f t="shared" si="0"/>
        <v>176.74089784376105</v>
      </c>
      <c r="J27" s="11">
        <v>1.8E-3</v>
      </c>
      <c r="K27" s="10">
        <f t="shared" si="1"/>
        <v>0.31813361611876989</v>
      </c>
      <c r="L27" s="21">
        <v>55466.89</v>
      </c>
      <c r="M27" s="17">
        <f t="shared" si="2"/>
        <v>1.7645882290562038E-2</v>
      </c>
      <c r="N27" s="8">
        <v>8.4999999999999995E-4</v>
      </c>
      <c r="O27" s="11">
        <v>2.44</v>
      </c>
      <c r="P27" s="7" t="s">
        <v>39</v>
      </c>
      <c r="Q27" s="11">
        <v>53.45</v>
      </c>
      <c r="R27" s="7">
        <v>26</v>
      </c>
      <c r="S27" s="7">
        <v>26</v>
      </c>
    </row>
    <row r="28" spans="1:19" x14ac:dyDescent="0.25">
      <c r="A28" s="18" t="s">
        <v>30</v>
      </c>
      <c r="B28" s="5" t="s">
        <v>17</v>
      </c>
      <c r="C28" s="7">
        <v>3</v>
      </c>
      <c r="D28" s="7" t="s">
        <v>56</v>
      </c>
      <c r="E28" s="16">
        <v>17487</v>
      </c>
      <c r="F28" s="16">
        <v>8162266</v>
      </c>
      <c r="G28" s="11">
        <v>181.22508155128671</v>
      </c>
      <c r="H28" s="7">
        <v>1</v>
      </c>
      <c r="I28" s="10">
        <f t="shared" si="0"/>
        <v>181.22508155128671</v>
      </c>
      <c r="J28" s="11">
        <v>2.0999999999999999E-3</v>
      </c>
      <c r="K28" s="10">
        <f t="shared" si="1"/>
        <v>0.38057267125770206</v>
      </c>
      <c r="L28" s="21">
        <v>55466.89</v>
      </c>
      <c r="M28" s="17">
        <f t="shared" si="2"/>
        <v>2.1109182493657123E-2</v>
      </c>
      <c r="N28" s="8">
        <v>5.7300000000000005E-4</v>
      </c>
      <c r="O28" s="11">
        <v>2.62</v>
      </c>
      <c r="P28" s="7" t="s">
        <v>39</v>
      </c>
      <c r="Q28" s="11">
        <v>53.5</v>
      </c>
      <c r="R28" s="7">
        <v>26</v>
      </c>
      <c r="S28" s="7">
        <v>26</v>
      </c>
    </row>
    <row r="29" spans="1:19" x14ac:dyDescent="0.25">
      <c r="A29" s="18" t="s">
        <v>30</v>
      </c>
      <c r="B29" s="5" t="s">
        <v>17</v>
      </c>
      <c r="C29" s="7">
        <v>3</v>
      </c>
      <c r="D29" s="7" t="s">
        <v>57</v>
      </c>
      <c r="E29" s="16">
        <v>15439</v>
      </c>
      <c r="F29" s="16">
        <v>10427059</v>
      </c>
      <c r="G29" s="11">
        <v>173.79214459506429</v>
      </c>
      <c r="H29" s="7">
        <v>1</v>
      </c>
      <c r="I29" s="10">
        <f t="shared" si="0"/>
        <v>173.79214459506429</v>
      </c>
      <c r="J29" s="11">
        <v>1.5E-3</v>
      </c>
      <c r="K29" s="10">
        <f t="shared" si="1"/>
        <v>0.26068821689259641</v>
      </c>
      <c r="L29" s="21">
        <v>55466.89</v>
      </c>
      <c r="M29" s="17">
        <f t="shared" si="2"/>
        <v>1.4459564650677787E-2</v>
      </c>
      <c r="N29" s="8">
        <v>1.23E-2</v>
      </c>
      <c r="O29" s="11">
        <v>1.1200000000000001</v>
      </c>
      <c r="P29" s="7" t="s">
        <v>39</v>
      </c>
      <c r="Q29" s="11">
        <v>53.62</v>
      </c>
      <c r="R29" s="7">
        <v>26</v>
      </c>
      <c r="S29" s="7">
        <v>26</v>
      </c>
    </row>
    <row r="30" spans="1:19" x14ac:dyDescent="0.25">
      <c r="A30" s="18" t="s">
        <v>30</v>
      </c>
      <c r="B30" s="5" t="s">
        <v>17</v>
      </c>
      <c r="C30" s="7">
        <v>3</v>
      </c>
      <c r="D30" s="7" t="s">
        <v>54</v>
      </c>
      <c r="E30" s="16">
        <v>7395</v>
      </c>
      <c r="F30" s="16">
        <v>457784</v>
      </c>
      <c r="G30" s="11">
        <v>146.79976512037581</v>
      </c>
      <c r="H30" s="7">
        <v>10</v>
      </c>
      <c r="I30" s="10">
        <f t="shared" si="0"/>
        <v>14.67997651203758</v>
      </c>
      <c r="J30" s="11">
        <v>1.6199999999999999E-2</v>
      </c>
      <c r="K30" s="10">
        <f t="shared" si="1"/>
        <v>0.23781561949500879</v>
      </c>
      <c r="L30" s="21">
        <v>55466.89</v>
      </c>
      <c r="M30" s="17">
        <f t="shared" si="2"/>
        <v>1.3190892806811507E-2</v>
      </c>
      <c r="N30" s="8">
        <v>6.3200000000000006E-2</v>
      </c>
      <c r="O30" s="11">
        <v>-0.66</v>
      </c>
      <c r="P30" s="7" t="s">
        <v>40</v>
      </c>
      <c r="Q30" s="11">
        <v>54.2</v>
      </c>
      <c r="R30" s="7">
        <v>27</v>
      </c>
      <c r="S30" s="7">
        <v>27</v>
      </c>
    </row>
    <row r="31" spans="1:19" x14ac:dyDescent="0.25">
      <c r="A31" s="18" t="s">
        <v>30</v>
      </c>
      <c r="B31" s="5" t="s">
        <v>17</v>
      </c>
      <c r="C31" s="7">
        <v>3</v>
      </c>
      <c r="D31" s="7" t="s">
        <v>55</v>
      </c>
      <c r="E31" s="16">
        <v>6815</v>
      </c>
      <c r="F31" s="16">
        <v>849050</v>
      </c>
      <c r="G31" s="11">
        <v>176.74089784376105</v>
      </c>
      <c r="H31" s="7">
        <v>10</v>
      </c>
      <c r="I31" s="10">
        <f t="shared" si="0"/>
        <v>17.674089784376104</v>
      </c>
      <c r="J31" s="11">
        <v>8.0000000000000002E-3</v>
      </c>
      <c r="K31" s="10">
        <f t="shared" si="1"/>
        <v>0.14139271827500882</v>
      </c>
      <c r="L31" s="21">
        <v>55466.89</v>
      </c>
      <c r="M31" s="17">
        <f t="shared" si="2"/>
        <v>7.8426143513609034E-3</v>
      </c>
      <c r="N31" s="8">
        <v>3.39E-2</v>
      </c>
      <c r="O31" s="11">
        <v>0.3</v>
      </c>
      <c r="P31" s="7" t="s">
        <v>39</v>
      </c>
      <c r="Q31" s="11">
        <v>53.27</v>
      </c>
      <c r="R31" s="7">
        <v>27</v>
      </c>
      <c r="S31" s="7">
        <v>27</v>
      </c>
    </row>
    <row r="32" spans="1:19" x14ac:dyDescent="0.25">
      <c r="A32" s="18" t="s">
        <v>30</v>
      </c>
      <c r="B32" s="5" t="s">
        <v>17</v>
      </c>
      <c r="C32" s="7">
        <v>3</v>
      </c>
      <c r="D32" s="7" t="s">
        <v>56</v>
      </c>
      <c r="E32" s="16">
        <v>9336</v>
      </c>
      <c r="F32" s="16">
        <v>1414292</v>
      </c>
      <c r="G32" s="11">
        <v>181.22508155128671</v>
      </c>
      <c r="H32" s="7">
        <v>10</v>
      </c>
      <c r="I32" s="10">
        <f t="shared" si="0"/>
        <v>18.122508155128671</v>
      </c>
      <c r="J32" s="11">
        <v>6.6E-3</v>
      </c>
      <c r="K32" s="10">
        <f t="shared" si="1"/>
        <v>0.11960855382384923</v>
      </c>
      <c r="L32" s="21">
        <v>55466.89</v>
      </c>
      <c r="M32" s="17">
        <f t="shared" si="2"/>
        <v>6.6343144980065246E-3</v>
      </c>
      <c r="N32" s="8">
        <v>3.8699999999999998E-2</v>
      </c>
      <c r="O32" s="11">
        <v>0.15</v>
      </c>
      <c r="P32" s="7" t="s">
        <v>40</v>
      </c>
      <c r="Q32" s="11">
        <v>51.58</v>
      </c>
      <c r="R32" s="7">
        <v>29</v>
      </c>
      <c r="S32" s="7">
        <v>29</v>
      </c>
    </row>
    <row r="33" spans="1:19" x14ac:dyDescent="0.25">
      <c r="A33" s="18" t="s">
        <v>30</v>
      </c>
      <c r="B33" s="5" t="s">
        <v>17</v>
      </c>
      <c r="C33" s="7">
        <v>3</v>
      </c>
      <c r="D33" s="7" t="s">
        <v>57</v>
      </c>
      <c r="E33" s="16">
        <v>3367</v>
      </c>
      <c r="F33" s="16">
        <v>958320</v>
      </c>
      <c r="G33" s="11">
        <v>173.79214459506429</v>
      </c>
      <c r="H33" s="7">
        <v>10</v>
      </c>
      <c r="I33" s="10">
        <f t="shared" si="0"/>
        <v>17.379214459506429</v>
      </c>
      <c r="J33" s="11">
        <v>3.5000000000000001E-3</v>
      </c>
      <c r="K33" s="10">
        <f t="shared" si="1"/>
        <v>6.0827250608272501E-2</v>
      </c>
      <c r="L33" s="21">
        <v>55466.89</v>
      </c>
      <c r="M33" s="17">
        <f t="shared" si="2"/>
        <v>3.3738984184914838E-3</v>
      </c>
      <c r="N33" s="8">
        <v>3.9E-2</v>
      </c>
      <c r="O33" s="11">
        <v>0.13</v>
      </c>
      <c r="P33" s="7" t="s">
        <v>40</v>
      </c>
      <c r="Q33" s="11">
        <v>54.4</v>
      </c>
      <c r="R33" s="7">
        <v>25</v>
      </c>
      <c r="S33" s="7">
        <v>25</v>
      </c>
    </row>
    <row r="34" spans="1:19" x14ac:dyDescent="0.25">
      <c r="A34" s="18" t="s">
        <v>30</v>
      </c>
      <c r="B34" s="5" t="s">
        <v>17</v>
      </c>
      <c r="C34" s="7">
        <v>3</v>
      </c>
      <c r="D34" s="7" t="s">
        <v>54</v>
      </c>
      <c r="E34" s="16">
        <v>1588</v>
      </c>
      <c r="F34" s="16">
        <v>38339</v>
      </c>
      <c r="G34" s="11">
        <v>146.79976512037581</v>
      </c>
      <c r="H34" s="7">
        <v>100</v>
      </c>
      <c r="I34" s="10">
        <f t="shared" si="0"/>
        <v>1.467997651203758</v>
      </c>
      <c r="J34" s="11">
        <v>4.1399999999999999E-2</v>
      </c>
      <c r="K34" s="19">
        <f t="shared" ref="K34:K61" si="3">J34*I34</f>
        <v>6.0775102759835581E-2</v>
      </c>
      <c r="L34" s="21">
        <v>55466.89</v>
      </c>
      <c r="M34" s="20">
        <f t="shared" si="2"/>
        <v>3.3710059395184967E-3</v>
      </c>
      <c r="N34" s="8">
        <v>1.67E-2</v>
      </c>
      <c r="O34" s="11">
        <v>0.91</v>
      </c>
      <c r="P34" s="7" t="s">
        <v>40</v>
      </c>
      <c r="Q34" s="11">
        <v>52.85</v>
      </c>
      <c r="R34" s="7">
        <v>17</v>
      </c>
      <c r="S34" s="7">
        <v>17</v>
      </c>
    </row>
    <row r="35" spans="1:19" x14ac:dyDescent="0.25">
      <c r="A35" s="18" t="s">
        <v>30</v>
      </c>
      <c r="B35" s="5" t="s">
        <v>17</v>
      </c>
      <c r="C35" s="7">
        <v>3</v>
      </c>
      <c r="D35" s="7" t="s">
        <v>55</v>
      </c>
      <c r="E35" s="16">
        <v>4576</v>
      </c>
      <c r="F35" s="16">
        <v>47196</v>
      </c>
      <c r="G35" s="11">
        <v>176.74089784376105</v>
      </c>
      <c r="H35" s="7">
        <v>100</v>
      </c>
      <c r="I35" s="10">
        <f t="shared" si="0"/>
        <v>1.7674089784376106</v>
      </c>
      <c r="J35" s="11">
        <v>9.7000000000000003E-2</v>
      </c>
      <c r="K35" s="10">
        <f t="shared" si="3"/>
        <v>0.17143867090844822</v>
      </c>
      <c r="L35" s="21">
        <v>55466.89</v>
      </c>
      <c r="M35" s="17">
        <f t="shared" si="2"/>
        <v>9.5091699010250979E-3</v>
      </c>
      <c r="N35" s="8">
        <v>5.2699999999999997E-2</v>
      </c>
      <c r="O35" s="11">
        <v>-0.3</v>
      </c>
      <c r="P35" s="7" t="s">
        <v>40</v>
      </c>
      <c r="Q35" s="11">
        <v>52.7</v>
      </c>
      <c r="R35" s="7">
        <v>28</v>
      </c>
      <c r="S35" s="7">
        <v>28</v>
      </c>
    </row>
    <row r="36" spans="1:19" x14ac:dyDescent="0.25">
      <c r="A36" s="18" t="s">
        <v>30</v>
      </c>
      <c r="B36" s="5" t="s">
        <v>17</v>
      </c>
      <c r="C36" s="7">
        <v>3</v>
      </c>
      <c r="D36" s="7" t="s">
        <v>56</v>
      </c>
      <c r="E36" s="16">
        <v>1632</v>
      </c>
      <c r="F36" s="16">
        <v>77998</v>
      </c>
      <c r="G36" s="11">
        <v>181.22508155128671</v>
      </c>
      <c r="H36" s="7">
        <v>100</v>
      </c>
      <c r="I36" s="10">
        <f t="shared" si="0"/>
        <v>1.8122508155128672</v>
      </c>
      <c r="J36" s="11">
        <v>2.0899999999999998E-2</v>
      </c>
      <c r="K36" s="19">
        <f t="shared" si="3"/>
        <v>3.7876042044218919E-2</v>
      </c>
      <c r="L36" s="21">
        <v>55466.89</v>
      </c>
      <c r="M36" s="20">
        <f t="shared" si="2"/>
        <v>2.1008662577020661E-3</v>
      </c>
      <c r="N36" s="8">
        <v>3.4599999999999999E-2</v>
      </c>
      <c r="O36" s="11">
        <v>0.28000000000000003</v>
      </c>
      <c r="P36" s="7" t="s">
        <v>40</v>
      </c>
      <c r="Q36" s="11">
        <v>52.98</v>
      </c>
      <c r="R36" s="7">
        <v>23</v>
      </c>
      <c r="S36" s="7">
        <v>23</v>
      </c>
    </row>
    <row r="37" spans="1:19" x14ac:dyDescent="0.25">
      <c r="A37" s="18" t="s">
        <v>30</v>
      </c>
      <c r="B37" s="5" t="s">
        <v>17</v>
      </c>
      <c r="C37" s="7">
        <v>3</v>
      </c>
      <c r="D37" s="7" t="s">
        <v>57</v>
      </c>
      <c r="E37" s="16">
        <v>10116</v>
      </c>
      <c r="F37" s="16">
        <v>60246</v>
      </c>
      <c r="G37" s="11">
        <v>173.79214459506429</v>
      </c>
      <c r="H37" s="7">
        <v>100</v>
      </c>
      <c r="I37" s="10">
        <f t="shared" si="0"/>
        <v>1.7379214459506429</v>
      </c>
      <c r="J37" s="11">
        <v>0.16789999999999999</v>
      </c>
      <c r="K37" s="10">
        <f t="shared" si="3"/>
        <v>0.29179701077511294</v>
      </c>
      <c r="L37" s="21">
        <v>55466.89</v>
      </c>
      <c r="M37" s="17">
        <f t="shared" si="2"/>
        <v>1.6185072698992005E-2</v>
      </c>
      <c r="N37" s="8">
        <v>4.9200000000000001E-2</v>
      </c>
      <c r="O37" s="11">
        <v>-0.19</v>
      </c>
      <c r="P37" s="7" t="s">
        <v>40</v>
      </c>
      <c r="Q37" s="11">
        <v>51.96</v>
      </c>
      <c r="R37" s="7">
        <v>22</v>
      </c>
      <c r="S37" s="7">
        <v>22</v>
      </c>
    </row>
    <row r="38" spans="1:19" x14ac:dyDescent="0.25">
      <c r="A38" s="5" t="s">
        <v>26</v>
      </c>
      <c r="B38" s="5" t="s">
        <v>10</v>
      </c>
      <c r="C38" s="7">
        <v>2</v>
      </c>
      <c r="D38" s="7" t="s">
        <v>54</v>
      </c>
      <c r="E38" s="16">
        <v>7400</v>
      </c>
      <c r="F38" s="16">
        <v>733827</v>
      </c>
      <c r="G38" s="11">
        <v>146.79976512037581</v>
      </c>
      <c r="H38" s="7">
        <v>1</v>
      </c>
      <c r="I38" s="10">
        <f t="shared" si="0"/>
        <v>146.79976512037581</v>
      </c>
      <c r="J38" s="11">
        <v>3.17</v>
      </c>
      <c r="K38" s="10">
        <f t="shared" si="3"/>
        <v>465.35525543159133</v>
      </c>
      <c r="L38" s="21">
        <v>4992.7</v>
      </c>
      <c r="M38" s="17">
        <f t="shared" si="2"/>
        <v>2.323379183793306</v>
      </c>
      <c r="N38" s="8">
        <v>2.2799999999999999E-3</v>
      </c>
      <c r="O38" s="11">
        <v>2.0099999999999998</v>
      </c>
      <c r="P38" s="7" t="s">
        <v>40</v>
      </c>
      <c r="Q38" s="11">
        <v>49.54</v>
      </c>
      <c r="R38" s="7">
        <v>25</v>
      </c>
      <c r="S38" s="7">
        <v>25</v>
      </c>
    </row>
    <row r="39" spans="1:19" x14ac:dyDescent="0.25">
      <c r="A39" s="5" t="s">
        <v>26</v>
      </c>
      <c r="B39" s="5" t="s">
        <v>10</v>
      </c>
      <c r="C39" s="7">
        <v>2</v>
      </c>
      <c r="D39" s="7" t="s">
        <v>55</v>
      </c>
      <c r="E39" s="16">
        <v>5094</v>
      </c>
      <c r="F39" s="16">
        <v>619503</v>
      </c>
      <c r="G39" s="11">
        <v>176.74089784376105</v>
      </c>
      <c r="H39" s="7">
        <v>1</v>
      </c>
      <c r="I39" s="10">
        <f t="shared" si="0"/>
        <v>176.74089784376105</v>
      </c>
      <c r="J39" s="11">
        <v>3.41</v>
      </c>
      <c r="K39" s="10">
        <f t="shared" si="3"/>
        <v>602.6864616472252</v>
      </c>
      <c r="L39" s="21">
        <v>4992.7</v>
      </c>
      <c r="M39" s="17">
        <f t="shared" si="2"/>
        <v>3.0090326970661012</v>
      </c>
      <c r="N39" s="8">
        <v>1.9499999999999999E-3</v>
      </c>
      <c r="O39" s="11">
        <v>2.08</v>
      </c>
      <c r="P39" s="7" t="s">
        <v>40</v>
      </c>
      <c r="Q39" s="11">
        <v>49.06</v>
      </c>
      <c r="R39" s="7">
        <v>32</v>
      </c>
      <c r="S39" s="7">
        <v>32</v>
      </c>
    </row>
    <row r="40" spans="1:19" x14ac:dyDescent="0.25">
      <c r="A40" s="5" t="s">
        <v>26</v>
      </c>
      <c r="B40" s="5" t="s">
        <v>10</v>
      </c>
      <c r="C40" s="7">
        <v>2</v>
      </c>
      <c r="D40" s="7" t="s">
        <v>56</v>
      </c>
      <c r="E40" s="16">
        <v>13706</v>
      </c>
      <c r="F40" s="16">
        <v>546833</v>
      </c>
      <c r="G40" s="11">
        <v>181.22508155128671</v>
      </c>
      <c r="H40" s="7">
        <v>1</v>
      </c>
      <c r="I40" s="10">
        <f t="shared" si="0"/>
        <v>181.22508155128671</v>
      </c>
      <c r="J40" s="11">
        <v>7.6</v>
      </c>
      <c r="K40" s="10">
        <f t="shared" si="3"/>
        <v>1377.3106197897789</v>
      </c>
      <c r="L40" s="21">
        <v>4992.7</v>
      </c>
      <c r="M40" s="17">
        <f t="shared" si="2"/>
        <v>6.8764987314244284</v>
      </c>
      <c r="N40" s="8">
        <v>7.9799999999999999E-4</v>
      </c>
      <c r="O40" s="11">
        <v>2.4700000000000002</v>
      </c>
      <c r="P40" s="7" t="s">
        <v>40</v>
      </c>
      <c r="Q40" s="11">
        <v>49.33</v>
      </c>
      <c r="R40" s="7">
        <v>34</v>
      </c>
      <c r="S40" s="7">
        <v>34</v>
      </c>
    </row>
    <row r="41" spans="1:19" x14ac:dyDescent="0.25">
      <c r="A41" s="5" t="s">
        <v>26</v>
      </c>
      <c r="B41" s="5" t="s">
        <v>10</v>
      </c>
      <c r="C41" s="7">
        <v>2</v>
      </c>
      <c r="D41" s="7" t="s">
        <v>57</v>
      </c>
      <c r="E41" s="16">
        <v>15240</v>
      </c>
      <c r="F41" s="16">
        <v>613863</v>
      </c>
      <c r="G41" s="11">
        <v>173.79214459506429</v>
      </c>
      <c r="H41" s="7">
        <v>1</v>
      </c>
      <c r="I41" s="10">
        <f t="shared" si="0"/>
        <v>173.79214459506429</v>
      </c>
      <c r="J41" s="11">
        <v>3.22</v>
      </c>
      <c r="K41" s="10">
        <f t="shared" si="3"/>
        <v>559.61070559610698</v>
      </c>
      <c r="L41" s="21">
        <v>4992.7</v>
      </c>
      <c r="M41" s="17">
        <f t="shared" si="2"/>
        <v>2.7939683698296829</v>
      </c>
      <c r="N41" s="8">
        <v>3.4299999999999999E-3</v>
      </c>
      <c r="O41" s="11">
        <v>1.82</v>
      </c>
      <c r="P41" s="7" t="s">
        <v>40</v>
      </c>
      <c r="Q41" s="11">
        <v>49.44</v>
      </c>
      <c r="R41" s="7">
        <v>25</v>
      </c>
      <c r="S41" s="7">
        <v>25</v>
      </c>
    </row>
    <row r="42" spans="1:19" x14ac:dyDescent="0.25">
      <c r="A42" s="5" t="s">
        <v>26</v>
      </c>
      <c r="B42" s="5" t="s">
        <v>10</v>
      </c>
      <c r="C42" s="7">
        <v>2</v>
      </c>
      <c r="D42" s="7" t="s">
        <v>54</v>
      </c>
      <c r="E42" s="16">
        <v>24338</v>
      </c>
      <c r="F42" s="16">
        <v>1430602</v>
      </c>
      <c r="G42" s="11">
        <v>146.79976512037581</v>
      </c>
      <c r="H42" s="7">
        <v>10</v>
      </c>
      <c r="I42" s="10">
        <f t="shared" si="0"/>
        <v>14.67997651203758</v>
      </c>
      <c r="J42" s="11">
        <v>12.87</v>
      </c>
      <c r="K42" s="10">
        <f t="shared" si="3"/>
        <v>188.93129770992365</v>
      </c>
      <c r="L42" s="21">
        <v>4992.7</v>
      </c>
      <c r="M42" s="17">
        <f t="shared" si="2"/>
        <v>0.94327729007633576</v>
      </c>
      <c r="N42" s="8">
        <v>5.3700000000000004E-4</v>
      </c>
      <c r="O42" s="11">
        <v>2.65</v>
      </c>
      <c r="P42" s="7" t="s">
        <v>40</v>
      </c>
      <c r="Q42" s="11">
        <v>49.27</v>
      </c>
      <c r="R42" s="7">
        <v>30</v>
      </c>
      <c r="S42" s="7">
        <v>30</v>
      </c>
    </row>
    <row r="43" spans="1:19" x14ac:dyDescent="0.25">
      <c r="A43" s="5" t="s">
        <v>26</v>
      </c>
      <c r="B43" s="5" t="s">
        <v>10</v>
      </c>
      <c r="C43" s="7">
        <v>2</v>
      </c>
      <c r="D43" s="7" t="s">
        <v>55</v>
      </c>
      <c r="E43" s="16">
        <v>20121</v>
      </c>
      <c r="F43" s="16">
        <v>1677225</v>
      </c>
      <c r="G43" s="11">
        <v>176.74089784376105</v>
      </c>
      <c r="H43" s="7">
        <v>10</v>
      </c>
      <c r="I43" s="10">
        <f t="shared" si="0"/>
        <v>17.674089784376104</v>
      </c>
      <c r="J43" s="11">
        <v>14.85</v>
      </c>
      <c r="K43" s="10">
        <f t="shared" si="3"/>
        <v>262.46023329798516</v>
      </c>
      <c r="L43" s="21">
        <v>4992.7</v>
      </c>
      <c r="M43" s="17">
        <f t="shared" si="2"/>
        <v>1.3103852067868504</v>
      </c>
      <c r="N43" s="8">
        <v>5.1700000000000001E-3</v>
      </c>
      <c r="O43" s="11">
        <v>1.62</v>
      </c>
      <c r="P43" s="7" t="s">
        <v>40</v>
      </c>
      <c r="Q43" s="11">
        <v>49</v>
      </c>
      <c r="R43" s="7">
        <v>25</v>
      </c>
      <c r="S43" s="7">
        <v>25</v>
      </c>
    </row>
    <row r="44" spans="1:19" x14ac:dyDescent="0.25">
      <c r="A44" s="5" t="s">
        <v>26</v>
      </c>
      <c r="B44" s="5" t="s">
        <v>10</v>
      </c>
      <c r="C44" s="7">
        <v>2</v>
      </c>
      <c r="D44" s="7" t="s">
        <v>56</v>
      </c>
      <c r="E44" s="16">
        <v>38309</v>
      </c>
      <c r="F44" s="16">
        <v>1587405</v>
      </c>
      <c r="G44" s="11">
        <v>181.22508155128671</v>
      </c>
      <c r="H44" s="7">
        <v>10</v>
      </c>
      <c r="I44" s="10">
        <f t="shared" si="0"/>
        <v>18.122508155128671</v>
      </c>
      <c r="J44" s="11">
        <v>7.78</v>
      </c>
      <c r="K44" s="10">
        <f t="shared" si="3"/>
        <v>140.99311344690105</v>
      </c>
      <c r="L44" s="21">
        <v>4992.7</v>
      </c>
      <c r="M44" s="17">
        <f t="shared" si="2"/>
        <v>0.70393631750634289</v>
      </c>
      <c r="N44" s="8">
        <v>7.0200000000000004E-4</v>
      </c>
      <c r="O44" s="11">
        <v>2.5299999999999998</v>
      </c>
      <c r="P44" s="7" t="s">
        <v>40</v>
      </c>
      <c r="Q44" s="11">
        <v>49.17</v>
      </c>
      <c r="R44" s="7">
        <v>36</v>
      </c>
      <c r="S44" s="7">
        <v>36</v>
      </c>
    </row>
    <row r="45" spans="1:19" x14ac:dyDescent="0.25">
      <c r="A45" s="5" t="s">
        <v>26</v>
      </c>
      <c r="B45" s="5" t="s">
        <v>10</v>
      </c>
      <c r="C45" s="7">
        <v>2</v>
      </c>
      <c r="D45" s="7" t="s">
        <v>57</v>
      </c>
      <c r="E45" s="16">
        <v>33837</v>
      </c>
      <c r="F45" s="16">
        <v>1316377</v>
      </c>
      <c r="G45" s="11">
        <v>173.79214459506429</v>
      </c>
      <c r="H45" s="7">
        <v>10</v>
      </c>
      <c r="I45" s="10">
        <f t="shared" si="0"/>
        <v>17.379214459506429</v>
      </c>
      <c r="J45" s="11">
        <v>12.71</v>
      </c>
      <c r="K45" s="10">
        <f t="shared" si="3"/>
        <v>220.88981578032673</v>
      </c>
      <c r="L45" s="21">
        <v>4992.7</v>
      </c>
      <c r="M45" s="17">
        <f t="shared" si="2"/>
        <v>1.1028365832464371</v>
      </c>
      <c r="N45" s="8">
        <v>5.7300000000000005E-4</v>
      </c>
      <c r="O45" s="11">
        <v>2.62</v>
      </c>
      <c r="P45" s="7" t="s">
        <v>40</v>
      </c>
      <c r="Q45" s="11">
        <v>49.35</v>
      </c>
      <c r="R45" s="7">
        <v>37</v>
      </c>
      <c r="S45" s="7">
        <v>37</v>
      </c>
    </row>
    <row r="46" spans="1:19" x14ac:dyDescent="0.25">
      <c r="A46" s="5" t="s">
        <v>26</v>
      </c>
      <c r="B46" s="5" t="s">
        <v>10</v>
      </c>
      <c r="C46" s="7">
        <v>2</v>
      </c>
      <c r="D46" s="7" t="s">
        <v>54</v>
      </c>
      <c r="E46" s="16">
        <v>16468</v>
      </c>
      <c r="F46" s="16">
        <v>1290242</v>
      </c>
      <c r="G46" s="11">
        <v>146.79976512037581</v>
      </c>
      <c r="H46" s="7">
        <v>100</v>
      </c>
      <c r="I46" s="10">
        <f t="shared" si="0"/>
        <v>1.467997651203758</v>
      </c>
      <c r="J46" s="11">
        <v>16.350000000000001</v>
      </c>
      <c r="K46" s="10">
        <f t="shared" si="3"/>
        <v>24.001761597181446</v>
      </c>
      <c r="L46" s="21">
        <v>4992.7</v>
      </c>
      <c r="M46" s="17">
        <f t="shared" si="2"/>
        <v>0.1198335951262478</v>
      </c>
      <c r="N46" s="8">
        <v>2.0100000000000001E-3</v>
      </c>
      <c r="O46" s="11">
        <v>2.0699999999999998</v>
      </c>
      <c r="P46" s="7" t="s">
        <v>40</v>
      </c>
      <c r="Q46" s="11">
        <v>49.61</v>
      </c>
      <c r="R46" s="7">
        <v>28</v>
      </c>
      <c r="S46" s="7">
        <v>28</v>
      </c>
    </row>
    <row r="47" spans="1:19" x14ac:dyDescent="0.25">
      <c r="A47" s="5" t="s">
        <v>26</v>
      </c>
      <c r="B47" s="5" t="s">
        <v>10</v>
      </c>
      <c r="C47" s="7">
        <v>2</v>
      </c>
      <c r="D47" s="7" t="s">
        <v>55</v>
      </c>
      <c r="E47" s="16">
        <v>15802</v>
      </c>
      <c r="F47" s="16">
        <v>1504494</v>
      </c>
      <c r="G47" s="11">
        <v>176.74089784376105</v>
      </c>
      <c r="H47" s="7">
        <v>100</v>
      </c>
      <c r="I47" s="10">
        <f t="shared" si="0"/>
        <v>1.7674089784376106</v>
      </c>
      <c r="J47" s="11">
        <v>7.7</v>
      </c>
      <c r="K47" s="10">
        <f t="shared" si="3"/>
        <v>13.609049133969602</v>
      </c>
      <c r="L47" s="21">
        <v>4992.7</v>
      </c>
      <c r="M47" s="17">
        <f t="shared" si="2"/>
        <v>6.7945899611170021E-2</v>
      </c>
      <c r="N47" s="8">
        <v>7.7499999999999997E-4</v>
      </c>
      <c r="O47" s="11">
        <v>2.4900000000000002</v>
      </c>
      <c r="P47" s="7" t="s">
        <v>40</v>
      </c>
      <c r="Q47" s="11">
        <v>49.06</v>
      </c>
      <c r="R47" s="7">
        <v>31</v>
      </c>
      <c r="S47" s="7">
        <v>31</v>
      </c>
    </row>
    <row r="48" spans="1:19" x14ac:dyDescent="0.25">
      <c r="A48" s="5" t="s">
        <v>26</v>
      </c>
      <c r="B48" s="5" t="s">
        <v>10</v>
      </c>
      <c r="C48" s="7">
        <v>2</v>
      </c>
      <c r="D48" s="7" t="s">
        <v>56</v>
      </c>
      <c r="E48" s="16">
        <v>37068</v>
      </c>
      <c r="F48" s="16">
        <v>1477386</v>
      </c>
      <c r="G48" s="11">
        <v>181.22508155128671</v>
      </c>
      <c r="H48" s="7">
        <v>100</v>
      </c>
      <c r="I48" s="10">
        <f t="shared" si="0"/>
        <v>1.8122508155128672</v>
      </c>
      <c r="J48" s="11">
        <v>4.5199999999999996</v>
      </c>
      <c r="K48" s="10">
        <f t="shared" si="3"/>
        <v>8.1913736861181583</v>
      </c>
      <c r="L48" s="21">
        <v>4992.7</v>
      </c>
      <c r="M48" s="17">
        <f t="shared" si="2"/>
        <v>4.0897071402682131E-2</v>
      </c>
      <c r="N48" s="8">
        <v>8.8000000000000003E-4</v>
      </c>
      <c r="O48" s="11">
        <v>2.42</v>
      </c>
      <c r="P48" s="7" t="s">
        <v>40</v>
      </c>
      <c r="Q48" s="11">
        <v>49.3</v>
      </c>
      <c r="R48" s="7">
        <v>38</v>
      </c>
      <c r="S48" s="7">
        <v>38</v>
      </c>
    </row>
    <row r="49" spans="1:19" x14ac:dyDescent="0.25">
      <c r="A49" s="5" t="s">
        <v>26</v>
      </c>
      <c r="B49" s="5" t="s">
        <v>10</v>
      </c>
      <c r="C49" s="7">
        <v>2</v>
      </c>
      <c r="D49" s="7" t="s">
        <v>57</v>
      </c>
      <c r="E49" s="16">
        <v>20119</v>
      </c>
      <c r="F49" s="16">
        <v>1215172</v>
      </c>
      <c r="G49" s="11">
        <v>173.79214459506429</v>
      </c>
      <c r="H49" s="7">
        <v>100</v>
      </c>
      <c r="I49" s="10">
        <f t="shared" si="0"/>
        <v>1.7379214459506429</v>
      </c>
      <c r="J49" s="11">
        <v>18.350000000000001</v>
      </c>
      <c r="K49" s="10">
        <f t="shared" si="3"/>
        <v>31.890858533194301</v>
      </c>
      <c r="L49" s="21">
        <v>4992.7</v>
      </c>
      <c r="M49" s="17">
        <f t="shared" si="2"/>
        <v>0.15922148939867917</v>
      </c>
      <c r="N49" s="8">
        <v>1.4400000000000001E-3</v>
      </c>
      <c r="O49" s="11">
        <v>2.21</v>
      </c>
      <c r="P49" s="7" t="s">
        <v>40</v>
      </c>
      <c r="Q49" s="11">
        <v>49.41</v>
      </c>
      <c r="R49" s="7">
        <v>28</v>
      </c>
      <c r="S49" s="7">
        <v>28</v>
      </c>
    </row>
    <row r="50" spans="1:19" x14ac:dyDescent="0.25">
      <c r="A50" s="5" t="s">
        <v>26</v>
      </c>
      <c r="B50" s="5" t="s">
        <v>64</v>
      </c>
      <c r="C50" s="7">
        <v>2</v>
      </c>
      <c r="D50" s="7" t="s">
        <v>54</v>
      </c>
      <c r="E50" s="16">
        <v>3188273</v>
      </c>
      <c r="F50" s="16">
        <v>857751</v>
      </c>
      <c r="G50" s="11">
        <v>146.79976512037581</v>
      </c>
      <c r="H50" s="7">
        <v>1</v>
      </c>
      <c r="I50" s="10">
        <f t="shared" si="0"/>
        <v>146.79976512037581</v>
      </c>
      <c r="J50" s="11">
        <v>3.7170000000000001</v>
      </c>
      <c r="K50" s="10">
        <f t="shared" si="3"/>
        <v>545.65472695243693</v>
      </c>
      <c r="L50" s="21">
        <v>4992.7</v>
      </c>
      <c r="M50" s="17">
        <f t="shared" si="2"/>
        <v>2.7242903552554321</v>
      </c>
      <c r="N50" s="8">
        <v>1.8700000000000001E-5</v>
      </c>
      <c r="O50" s="11">
        <v>3.87</v>
      </c>
      <c r="P50" s="7" t="s">
        <v>39</v>
      </c>
      <c r="Q50" s="11">
        <v>25.41</v>
      </c>
      <c r="R50" s="7">
        <v>16</v>
      </c>
      <c r="S50" s="7">
        <v>16</v>
      </c>
    </row>
    <row r="51" spans="1:19" x14ac:dyDescent="0.25">
      <c r="A51" s="5" t="s">
        <v>26</v>
      </c>
      <c r="B51" s="5" t="s">
        <v>64</v>
      </c>
      <c r="C51" s="7">
        <v>2</v>
      </c>
      <c r="D51" s="7" t="s">
        <v>55</v>
      </c>
      <c r="E51" s="16">
        <v>3299183</v>
      </c>
      <c r="F51" s="16">
        <v>949817</v>
      </c>
      <c r="G51" s="11">
        <v>176.74089784376105</v>
      </c>
      <c r="H51" s="7">
        <v>1</v>
      </c>
      <c r="I51" s="10">
        <f t="shared" si="0"/>
        <v>176.74089784376105</v>
      </c>
      <c r="J51" s="11">
        <v>3.4735</v>
      </c>
      <c r="K51" s="10">
        <f t="shared" si="3"/>
        <v>613.90950866030403</v>
      </c>
      <c r="L51" s="21">
        <v>4992.7</v>
      </c>
      <c r="M51" s="17">
        <f t="shared" si="2"/>
        <v>3.0650660038882998</v>
      </c>
      <c r="N51" s="8">
        <v>1.9599999999999999E-5</v>
      </c>
      <c r="O51" s="11">
        <v>3.85</v>
      </c>
      <c r="P51" s="7" t="s">
        <v>39</v>
      </c>
      <c r="Q51" s="11">
        <v>24.63</v>
      </c>
      <c r="R51" s="7">
        <v>15</v>
      </c>
      <c r="S51" s="7">
        <v>15</v>
      </c>
    </row>
    <row r="52" spans="1:19" x14ac:dyDescent="0.25">
      <c r="A52" s="5" t="s">
        <v>26</v>
      </c>
      <c r="B52" s="5" t="s">
        <v>64</v>
      </c>
      <c r="C52" s="7">
        <v>2</v>
      </c>
      <c r="D52" s="7" t="s">
        <v>56</v>
      </c>
      <c r="E52" s="16">
        <v>2951588</v>
      </c>
      <c r="F52" s="16">
        <v>840920</v>
      </c>
      <c r="G52" s="11">
        <v>181.22508155128671</v>
      </c>
      <c r="H52" s="7">
        <v>1</v>
      </c>
      <c r="I52" s="10">
        <f t="shared" si="0"/>
        <v>181.22508155128671</v>
      </c>
      <c r="J52" s="11">
        <v>3.51</v>
      </c>
      <c r="K52" s="10">
        <f t="shared" si="3"/>
        <v>636.10003624501633</v>
      </c>
      <c r="L52" s="21">
        <v>4992.7</v>
      </c>
      <c r="M52" s="17">
        <f t="shared" si="2"/>
        <v>3.1758566509604931</v>
      </c>
      <c r="N52" s="8">
        <v>2.0699999999999998E-5</v>
      </c>
      <c r="O52" s="11">
        <v>3.84</v>
      </c>
      <c r="P52" s="7" t="s">
        <v>39</v>
      </c>
      <c r="Q52" s="11">
        <v>25.11</v>
      </c>
      <c r="R52" s="7">
        <v>15</v>
      </c>
      <c r="S52" s="7">
        <v>15</v>
      </c>
    </row>
    <row r="53" spans="1:19" x14ac:dyDescent="0.25">
      <c r="A53" s="5" t="s">
        <v>26</v>
      </c>
      <c r="B53" s="5" t="s">
        <v>64</v>
      </c>
      <c r="C53" s="7">
        <v>2</v>
      </c>
      <c r="D53" s="7" t="s">
        <v>57</v>
      </c>
      <c r="E53" s="16">
        <v>2530531</v>
      </c>
      <c r="F53" s="16">
        <v>762409</v>
      </c>
      <c r="G53" s="11">
        <v>173.79214459506429</v>
      </c>
      <c r="H53" s="7">
        <v>1</v>
      </c>
      <c r="I53" s="10">
        <f t="shared" si="0"/>
        <v>173.79214459506429</v>
      </c>
      <c r="J53" s="11">
        <v>3.3191000000000002</v>
      </c>
      <c r="K53" s="10">
        <f t="shared" si="3"/>
        <v>576.83350712547792</v>
      </c>
      <c r="L53" s="21">
        <v>4992.7</v>
      </c>
      <c r="M53" s="17">
        <f t="shared" si="2"/>
        <v>2.8799566510253736</v>
      </c>
      <c r="N53" s="8">
        <v>2.7399999999999999E-5</v>
      </c>
      <c r="O53" s="11">
        <v>3.72</v>
      </c>
      <c r="P53" s="7" t="s">
        <v>39</v>
      </c>
      <c r="Q53" s="11">
        <v>25.5</v>
      </c>
      <c r="R53" s="7">
        <v>15</v>
      </c>
      <c r="S53" s="7">
        <v>15</v>
      </c>
    </row>
    <row r="54" spans="1:19" x14ac:dyDescent="0.25">
      <c r="A54" s="5" t="s">
        <v>26</v>
      </c>
      <c r="B54" s="5" t="s">
        <v>7</v>
      </c>
      <c r="C54" s="7">
        <v>2</v>
      </c>
      <c r="D54" s="7" t="s">
        <v>54</v>
      </c>
      <c r="E54" s="16">
        <v>3911353</v>
      </c>
      <c r="F54" s="16">
        <v>292090</v>
      </c>
      <c r="G54" s="11">
        <v>146.79976512037581</v>
      </c>
      <c r="H54" s="7">
        <v>10</v>
      </c>
      <c r="I54" s="10">
        <f t="shared" si="0"/>
        <v>14.67997651203758</v>
      </c>
      <c r="J54" s="11">
        <v>13.3909</v>
      </c>
      <c r="K54" s="10">
        <f t="shared" si="3"/>
        <v>196.57809747504405</v>
      </c>
      <c r="L54" s="21">
        <v>4992.7</v>
      </c>
      <c r="M54" s="17">
        <f t="shared" si="2"/>
        <v>0.9814554672636524</v>
      </c>
      <c r="N54" s="8">
        <v>4.7899999999999999E-5</v>
      </c>
      <c r="O54" s="11">
        <v>3.55</v>
      </c>
      <c r="P54" s="7" t="s">
        <v>39</v>
      </c>
      <c r="Q54" s="11">
        <v>25.05</v>
      </c>
      <c r="R54" s="7">
        <v>16</v>
      </c>
      <c r="S54" s="7">
        <v>16</v>
      </c>
    </row>
    <row r="55" spans="1:19" x14ac:dyDescent="0.25">
      <c r="A55" s="5" t="s">
        <v>26</v>
      </c>
      <c r="B55" s="5" t="s">
        <v>7</v>
      </c>
      <c r="C55" s="7">
        <v>2</v>
      </c>
      <c r="D55" s="7" t="s">
        <v>55</v>
      </c>
      <c r="E55" s="16">
        <v>5406594</v>
      </c>
      <c r="F55" s="16">
        <v>277167</v>
      </c>
      <c r="G55" s="11">
        <v>176.74089784376105</v>
      </c>
      <c r="H55" s="7">
        <v>10</v>
      </c>
      <c r="I55" s="10">
        <f t="shared" si="0"/>
        <v>17.674089784376104</v>
      </c>
      <c r="J55" s="11">
        <v>19.506599999999999</v>
      </c>
      <c r="K55" s="10">
        <f t="shared" si="3"/>
        <v>344.76139978791088</v>
      </c>
      <c r="L55" s="21">
        <v>4992.7</v>
      </c>
      <c r="M55" s="17">
        <f t="shared" si="2"/>
        <v>1.7212902407211026</v>
      </c>
      <c r="N55" s="8">
        <v>4.46E-5</v>
      </c>
      <c r="O55" s="11">
        <v>3.57</v>
      </c>
      <c r="P55" s="7" t="s">
        <v>39</v>
      </c>
      <c r="Q55" s="11">
        <v>24.74</v>
      </c>
      <c r="R55" s="7">
        <v>18</v>
      </c>
      <c r="S55" s="7">
        <v>18</v>
      </c>
    </row>
    <row r="56" spans="1:19" x14ac:dyDescent="0.25">
      <c r="A56" s="5" t="s">
        <v>26</v>
      </c>
      <c r="B56" s="5" t="s">
        <v>7</v>
      </c>
      <c r="C56" s="7">
        <v>2</v>
      </c>
      <c r="D56" s="7" t="s">
        <v>56</v>
      </c>
      <c r="E56" s="16">
        <v>4638963</v>
      </c>
      <c r="F56" s="16">
        <v>277450</v>
      </c>
      <c r="G56" s="11">
        <v>181.22508155128671</v>
      </c>
      <c r="H56" s="7">
        <v>10</v>
      </c>
      <c r="I56" s="10">
        <f t="shared" si="0"/>
        <v>18.122508155128671</v>
      </c>
      <c r="J56" s="11">
        <v>16.72</v>
      </c>
      <c r="K56" s="10">
        <f t="shared" si="3"/>
        <v>303.00833635375136</v>
      </c>
      <c r="L56" s="21">
        <v>4992.7</v>
      </c>
      <c r="M56" s="17">
        <f t="shared" si="2"/>
        <v>1.5128297209133743</v>
      </c>
      <c r="N56" s="8">
        <v>5.52E-5</v>
      </c>
      <c r="O56" s="11">
        <v>3.51</v>
      </c>
      <c r="P56" s="7" t="s">
        <v>39</v>
      </c>
      <c r="Q56" s="11">
        <v>25.1</v>
      </c>
      <c r="R56" s="7">
        <v>16</v>
      </c>
      <c r="S56" s="7">
        <v>16</v>
      </c>
    </row>
    <row r="57" spans="1:19" x14ac:dyDescent="0.25">
      <c r="A57" s="5" t="s">
        <v>26</v>
      </c>
      <c r="B57" s="5" t="s">
        <v>7</v>
      </c>
      <c r="C57" s="7">
        <v>2</v>
      </c>
      <c r="D57" s="7" t="s">
        <v>57</v>
      </c>
      <c r="E57" s="16">
        <v>4195917</v>
      </c>
      <c r="F57" s="16">
        <v>319979</v>
      </c>
      <c r="G57" s="11">
        <v>173.79214459506429</v>
      </c>
      <c r="H57" s="7">
        <v>10</v>
      </c>
      <c r="I57" s="10">
        <f t="shared" si="0"/>
        <v>17.379214459506429</v>
      </c>
      <c r="J57" s="11">
        <v>13.113099999999999</v>
      </c>
      <c r="K57" s="10">
        <f t="shared" si="3"/>
        <v>227.89537712895373</v>
      </c>
      <c r="L57" s="21">
        <v>4992.7</v>
      </c>
      <c r="M57" s="17">
        <f t="shared" si="2"/>
        <v>1.1378132493917272</v>
      </c>
      <c r="N57" s="8">
        <v>6.6699999999999995E-5</v>
      </c>
      <c r="O57" s="11">
        <v>3.42</v>
      </c>
      <c r="P57" s="7" t="s">
        <v>39</v>
      </c>
      <c r="Q57" s="11">
        <v>25.16</v>
      </c>
      <c r="R57" s="7">
        <v>21</v>
      </c>
      <c r="S57" s="7">
        <v>21</v>
      </c>
    </row>
    <row r="58" spans="1:19" x14ac:dyDescent="0.25">
      <c r="A58" s="5" t="s">
        <v>26</v>
      </c>
      <c r="B58" s="5" t="s">
        <v>7</v>
      </c>
      <c r="C58" s="7">
        <v>2</v>
      </c>
      <c r="D58" s="7" t="s">
        <v>54</v>
      </c>
      <c r="E58" s="16">
        <v>3715758</v>
      </c>
      <c r="F58" s="16">
        <v>99582</v>
      </c>
      <c r="G58" s="11">
        <v>146.79976512037581</v>
      </c>
      <c r="H58" s="7">
        <v>100</v>
      </c>
      <c r="I58" s="10">
        <f t="shared" si="0"/>
        <v>1.467997651203758</v>
      </c>
      <c r="J58" s="11">
        <v>37.313600000000001</v>
      </c>
      <c r="K58" s="10">
        <f t="shared" si="3"/>
        <v>54.77627715795655</v>
      </c>
      <c r="L58" s="21">
        <v>4992.7</v>
      </c>
      <c r="M58" s="17">
        <f t="shared" si="2"/>
        <v>0.27348151896652961</v>
      </c>
      <c r="N58" s="8">
        <v>1.02E-4</v>
      </c>
      <c r="O58" s="11">
        <v>3.27</v>
      </c>
      <c r="P58" s="7" t="s">
        <v>39</v>
      </c>
      <c r="Q58" s="11">
        <v>25.15</v>
      </c>
      <c r="R58" s="7">
        <v>15</v>
      </c>
      <c r="S58" s="7">
        <v>15</v>
      </c>
    </row>
    <row r="59" spans="1:19" x14ac:dyDescent="0.25">
      <c r="A59" s="5" t="s">
        <v>26</v>
      </c>
      <c r="B59" s="5" t="s">
        <v>7</v>
      </c>
      <c r="C59" s="7">
        <v>2</v>
      </c>
      <c r="D59" s="7" t="s">
        <v>55</v>
      </c>
      <c r="E59" s="16">
        <v>4496921</v>
      </c>
      <c r="F59" s="16">
        <v>198521</v>
      </c>
      <c r="G59" s="11">
        <v>176.74089784376105</v>
      </c>
      <c r="H59" s="7">
        <v>100</v>
      </c>
      <c r="I59" s="10">
        <f t="shared" si="0"/>
        <v>1.7674089784376106</v>
      </c>
      <c r="J59" s="11">
        <v>22.652100000000001</v>
      </c>
      <c r="K59" s="10">
        <f t="shared" si="3"/>
        <v>40.035524920466599</v>
      </c>
      <c r="L59" s="21">
        <v>4992.7</v>
      </c>
      <c r="M59" s="17">
        <f t="shared" si="2"/>
        <v>0.19988536527041356</v>
      </c>
      <c r="N59" s="8">
        <v>6.0300000000000002E-5</v>
      </c>
      <c r="O59" s="11">
        <v>3.47</v>
      </c>
      <c r="P59" s="7" t="s">
        <v>39</v>
      </c>
      <c r="Q59" s="11">
        <v>25.01</v>
      </c>
      <c r="R59" s="7">
        <v>22</v>
      </c>
      <c r="S59" s="7">
        <v>22</v>
      </c>
    </row>
    <row r="60" spans="1:19" x14ac:dyDescent="0.25">
      <c r="A60" s="5" t="s">
        <v>26</v>
      </c>
      <c r="B60" s="5" t="s">
        <v>7</v>
      </c>
      <c r="C60" s="7">
        <v>2</v>
      </c>
      <c r="D60" s="7" t="s">
        <v>56</v>
      </c>
      <c r="E60" s="16">
        <v>4421720</v>
      </c>
      <c r="F60" s="16">
        <v>203334</v>
      </c>
      <c r="G60" s="11">
        <v>181.22508155128671</v>
      </c>
      <c r="H60" s="7">
        <v>100</v>
      </c>
      <c r="I60" s="10">
        <f t="shared" si="0"/>
        <v>1.8122508155128672</v>
      </c>
      <c r="J60" s="11">
        <v>21.746099999999998</v>
      </c>
      <c r="K60" s="10">
        <f t="shared" si="3"/>
        <v>39.409387459224355</v>
      </c>
      <c r="L60" s="21">
        <v>4992.7</v>
      </c>
      <c r="M60" s="17">
        <f t="shared" si="2"/>
        <v>0.19675924876766943</v>
      </c>
      <c r="N60" s="8">
        <v>1.9000000000000001E-4</v>
      </c>
      <c r="O60" s="11">
        <v>3.03</v>
      </c>
      <c r="P60" s="7" t="s">
        <v>39</v>
      </c>
      <c r="Q60" s="11">
        <v>25.38</v>
      </c>
      <c r="R60" s="7">
        <v>16</v>
      </c>
      <c r="S60" s="7">
        <v>16</v>
      </c>
    </row>
    <row r="61" spans="1:19" x14ac:dyDescent="0.25">
      <c r="A61" s="5" t="s">
        <v>26</v>
      </c>
      <c r="B61" s="5" t="s">
        <v>7</v>
      </c>
      <c r="C61" s="7">
        <v>2</v>
      </c>
      <c r="D61" s="7" t="s">
        <v>57</v>
      </c>
      <c r="E61" s="16">
        <v>3325503</v>
      </c>
      <c r="F61" s="16">
        <v>204005</v>
      </c>
      <c r="G61" s="11">
        <v>173.79214459506429</v>
      </c>
      <c r="H61" s="7">
        <v>100</v>
      </c>
      <c r="I61" s="10">
        <f t="shared" si="0"/>
        <v>1.7379214459506429</v>
      </c>
      <c r="J61" s="11">
        <v>16.301100000000002</v>
      </c>
      <c r="K61" s="10">
        <f t="shared" si="3"/>
        <v>28.330031282586027</v>
      </c>
      <c r="L61" s="21">
        <v>4992.7</v>
      </c>
      <c r="M61" s="17">
        <f t="shared" si="2"/>
        <v>0.14144334718456725</v>
      </c>
      <c r="N61" s="8">
        <v>6.86E-5</v>
      </c>
      <c r="O61" s="11">
        <v>3.4</v>
      </c>
      <c r="P61" s="7" t="s">
        <v>39</v>
      </c>
      <c r="Q61" s="11">
        <v>25.26</v>
      </c>
      <c r="R61" s="7">
        <v>17</v>
      </c>
      <c r="S61" s="7">
        <v>17</v>
      </c>
    </row>
    <row r="62" spans="1:19" x14ac:dyDescent="0.25">
      <c r="A62" s="5" t="s">
        <v>26</v>
      </c>
      <c r="B62" s="5" t="s">
        <v>21</v>
      </c>
      <c r="C62" s="7">
        <v>3</v>
      </c>
      <c r="D62" s="7" t="s">
        <v>54</v>
      </c>
      <c r="E62" s="16">
        <v>44823</v>
      </c>
      <c r="F62" s="16">
        <v>1900561</v>
      </c>
      <c r="G62" s="11">
        <v>146.79976512037601</v>
      </c>
      <c r="H62" s="7">
        <v>1</v>
      </c>
      <c r="I62" s="10">
        <f t="shared" si="0"/>
        <v>146.79976512037601</v>
      </c>
      <c r="J62" s="11">
        <v>2.3599999999999999E-2</v>
      </c>
      <c r="K62" s="10">
        <f t="shared" ref="K62:K85" si="4">I62*J62</f>
        <v>3.4644744568408736</v>
      </c>
      <c r="L62" s="21">
        <v>6072.03</v>
      </c>
      <c r="M62" s="17">
        <f t="shared" si="2"/>
        <v>2.1036392836171491E-2</v>
      </c>
      <c r="N62" s="8">
        <v>3.8399999999999997E-2</v>
      </c>
      <c r="O62" s="7">
        <v>0.61</v>
      </c>
      <c r="P62" s="7" t="s">
        <v>40</v>
      </c>
      <c r="Q62" s="11">
        <v>43.24</v>
      </c>
      <c r="R62" s="7">
        <v>27</v>
      </c>
      <c r="S62" s="7">
        <v>27</v>
      </c>
    </row>
    <row r="63" spans="1:19" x14ac:dyDescent="0.25">
      <c r="A63" s="5" t="s">
        <v>26</v>
      </c>
      <c r="B63" s="5" t="s">
        <v>21</v>
      </c>
      <c r="C63" s="7">
        <v>3</v>
      </c>
      <c r="D63" s="7" t="s">
        <v>55</v>
      </c>
      <c r="E63" s="16">
        <v>27230</v>
      </c>
      <c r="F63" s="16">
        <v>2156528</v>
      </c>
      <c r="G63" s="11">
        <v>176.74089784376105</v>
      </c>
      <c r="H63" s="7">
        <v>1</v>
      </c>
      <c r="I63" s="10">
        <f t="shared" si="0"/>
        <v>176.74089784376105</v>
      </c>
      <c r="J63" s="11">
        <v>1.26E-2</v>
      </c>
      <c r="K63" s="10">
        <f t="shared" si="4"/>
        <v>2.2269353128313893</v>
      </c>
      <c r="L63" s="21">
        <v>6072.03</v>
      </c>
      <c r="M63" s="17">
        <f t="shared" si="2"/>
        <v>1.3522018027571581E-2</v>
      </c>
      <c r="N63" s="8">
        <v>7.3599999999999999E-2</v>
      </c>
      <c r="O63" s="7">
        <v>-0.12</v>
      </c>
      <c r="P63" s="7" t="s">
        <v>40</v>
      </c>
      <c r="Q63" s="11">
        <v>42.56</v>
      </c>
      <c r="R63" s="7">
        <v>20</v>
      </c>
      <c r="S63" s="7">
        <v>20</v>
      </c>
    </row>
    <row r="64" spans="1:19" x14ac:dyDescent="0.25">
      <c r="A64" s="5" t="s">
        <v>26</v>
      </c>
      <c r="B64" s="5" t="s">
        <v>21</v>
      </c>
      <c r="C64" s="7">
        <v>3</v>
      </c>
      <c r="D64" s="7" t="s">
        <v>56</v>
      </c>
      <c r="E64" s="16">
        <v>33089</v>
      </c>
      <c r="F64" s="16">
        <v>2263516</v>
      </c>
      <c r="G64" s="11">
        <v>181.22508155128671</v>
      </c>
      <c r="H64" s="7">
        <v>1</v>
      </c>
      <c r="I64" s="10">
        <f t="shared" si="0"/>
        <v>181.22508155128671</v>
      </c>
      <c r="J64" s="11">
        <v>1.46E-2</v>
      </c>
      <c r="K64" s="10">
        <f t="shared" si="4"/>
        <v>2.6458861906487861</v>
      </c>
      <c r="L64" s="21">
        <v>6072.03</v>
      </c>
      <c r="M64" s="17">
        <f t="shared" si="2"/>
        <v>1.6065900326205147E-2</v>
      </c>
      <c r="N64" s="8">
        <v>5.8000000000000003E-2</v>
      </c>
      <c r="O64" s="7">
        <v>0.19</v>
      </c>
      <c r="P64" s="7" t="s">
        <v>40</v>
      </c>
      <c r="Q64" s="11">
        <v>42.95</v>
      </c>
      <c r="R64" s="22">
        <v>26</v>
      </c>
      <c r="S64" s="7">
        <v>25</v>
      </c>
    </row>
    <row r="65" spans="1:19" x14ac:dyDescent="0.25">
      <c r="A65" s="5" t="s">
        <v>26</v>
      </c>
      <c r="B65" s="5" t="s">
        <v>21</v>
      </c>
      <c r="C65" s="7">
        <v>3</v>
      </c>
      <c r="D65" s="7" t="s">
        <v>57</v>
      </c>
      <c r="E65" s="16">
        <v>29040</v>
      </c>
      <c r="F65" s="16">
        <v>6250563</v>
      </c>
      <c r="G65" s="11">
        <v>173.79214459506429</v>
      </c>
      <c r="H65" s="7">
        <v>1</v>
      </c>
      <c r="I65" s="10">
        <f t="shared" si="0"/>
        <v>173.79214459506429</v>
      </c>
      <c r="J65" s="11">
        <v>4.5999999999999999E-3</v>
      </c>
      <c r="K65" s="10">
        <f t="shared" si="4"/>
        <v>0.79944386513729571</v>
      </c>
      <c r="L65" s="21">
        <v>6072.03</v>
      </c>
      <c r="M65" s="17">
        <f t="shared" si="2"/>
        <v>4.8542471324296141E-3</v>
      </c>
      <c r="N65" s="8">
        <v>9.0300000000000005E-2</v>
      </c>
      <c r="O65" s="7">
        <v>-0.51</v>
      </c>
      <c r="P65" s="7" t="s">
        <v>40</v>
      </c>
      <c r="Q65" s="11">
        <v>42.93</v>
      </c>
      <c r="R65" s="22">
        <v>37</v>
      </c>
      <c r="S65" s="7">
        <v>38</v>
      </c>
    </row>
    <row r="66" spans="1:19" x14ac:dyDescent="0.25">
      <c r="A66" s="5" t="s">
        <v>26</v>
      </c>
      <c r="B66" s="5" t="s">
        <v>21</v>
      </c>
      <c r="C66" s="7">
        <v>3</v>
      </c>
      <c r="D66" s="7" t="s">
        <v>54</v>
      </c>
      <c r="E66" s="16">
        <v>50668</v>
      </c>
      <c r="F66" s="16">
        <v>811607</v>
      </c>
      <c r="G66" s="11">
        <v>146.79976512037601</v>
      </c>
      <c r="H66" s="7">
        <v>10</v>
      </c>
      <c r="I66" s="10">
        <f t="shared" ref="I66:I129" si="5">G66/H66</f>
        <v>14.679976512037602</v>
      </c>
      <c r="J66" s="11">
        <v>6.2399999999999997E-2</v>
      </c>
      <c r="K66" s="10">
        <f t="shared" si="4"/>
        <v>0.91603053435114634</v>
      </c>
      <c r="L66" s="21">
        <v>6072.03</v>
      </c>
      <c r="M66" s="17">
        <f t="shared" ref="M66:M129" si="6">L66*K66/1000000</f>
        <v>5.5621648854961908E-3</v>
      </c>
      <c r="N66" s="8">
        <v>2.23E-2</v>
      </c>
      <c r="O66" s="7">
        <v>1.03</v>
      </c>
      <c r="P66" s="7" t="s">
        <v>40</v>
      </c>
      <c r="Q66" s="11">
        <v>43.89</v>
      </c>
      <c r="R66" s="7">
        <v>29</v>
      </c>
      <c r="S66" s="7">
        <v>29</v>
      </c>
    </row>
    <row r="67" spans="1:19" x14ac:dyDescent="0.25">
      <c r="A67" s="5" t="s">
        <v>26</v>
      </c>
      <c r="B67" s="5" t="s">
        <v>21</v>
      </c>
      <c r="C67" s="7">
        <v>3</v>
      </c>
      <c r="D67" s="7" t="s">
        <v>55</v>
      </c>
      <c r="E67" s="16">
        <v>42140</v>
      </c>
      <c r="F67" s="16">
        <v>1037089</v>
      </c>
      <c r="G67" s="11">
        <v>176.74089784376105</v>
      </c>
      <c r="H67" s="7">
        <v>10</v>
      </c>
      <c r="I67" s="10">
        <f t="shared" si="5"/>
        <v>17.674089784376104</v>
      </c>
      <c r="J67" s="11">
        <v>4.0599999999999997E-2</v>
      </c>
      <c r="K67" s="10">
        <f t="shared" si="4"/>
        <v>0.71756804524566975</v>
      </c>
      <c r="L67" s="21">
        <v>6072.03</v>
      </c>
      <c r="M67" s="17">
        <f t="shared" si="6"/>
        <v>4.3570946977730639E-3</v>
      </c>
      <c r="N67" s="8">
        <v>1.0200000000000001E-2</v>
      </c>
      <c r="O67" s="7">
        <v>1.52</v>
      </c>
      <c r="P67" s="7" t="s">
        <v>40</v>
      </c>
      <c r="Q67" s="11">
        <v>43.43</v>
      </c>
      <c r="R67" s="7">
        <v>21</v>
      </c>
      <c r="S67" s="7">
        <v>21</v>
      </c>
    </row>
    <row r="68" spans="1:19" x14ac:dyDescent="0.25">
      <c r="A68" s="5" t="s">
        <v>26</v>
      </c>
      <c r="B68" s="5" t="s">
        <v>21</v>
      </c>
      <c r="C68" s="7">
        <v>3</v>
      </c>
      <c r="D68" s="7" t="s">
        <v>56</v>
      </c>
      <c r="E68" s="16">
        <v>52758</v>
      </c>
      <c r="F68" s="16">
        <v>1700156</v>
      </c>
      <c r="G68" s="11">
        <v>181.22508155128671</v>
      </c>
      <c r="H68" s="7">
        <v>10</v>
      </c>
      <c r="I68" s="10">
        <f t="shared" si="5"/>
        <v>18.122508155128671</v>
      </c>
      <c r="J68" s="11">
        <v>3.1E-2</v>
      </c>
      <c r="K68" s="10">
        <f t="shared" si="4"/>
        <v>0.5617977528089888</v>
      </c>
      <c r="L68" s="21">
        <v>6072.03</v>
      </c>
      <c r="M68" s="17">
        <f t="shared" si="6"/>
        <v>3.411252808988764E-3</v>
      </c>
      <c r="N68" s="8">
        <v>1.24E-2</v>
      </c>
      <c r="O68" s="7">
        <v>1.41</v>
      </c>
      <c r="P68" s="7" t="s">
        <v>40</v>
      </c>
      <c r="Q68" s="11">
        <v>43.71</v>
      </c>
      <c r="R68" s="7">
        <v>32</v>
      </c>
      <c r="S68" s="7">
        <v>32</v>
      </c>
    </row>
    <row r="69" spans="1:19" x14ac:dyDescent="0.25">
      <c r="A69" s="5" t="s">
        <v>26</v>
      </c>
      <c r="B69" s="5" t="s">
        <v>21</v>
      </c>
      <c r="C69" s="7">
        <v>3</v>
      </c>
      <c r="D69" s="7" t="s">
        <v>57</v>
      </c>
      <c r="E69" s="16">
        <v>63443</v>
      </c>
      <c r="F69" s="16">
        <v>1105697</v>
      </c>
      <c r="G69" s="11">
        <v>173.79214459506429</v>
      </c>
      <c r="H69" s="7">
        <v>10</v>
      </c>
      <c r="I69" s="10">
        <f t="shared" si="5"/>
        <v>17.379214459506429</v>
      </c>
      <c r="J69" s="11">
        <v>5.74E-2</v>
      </c>
      <c r="K69" s="10">
        <f t="shared" si="4"/>
        <v>0.99756690997566899</v>
      </c>
      <c r="L69" s="21">
        <v>6072.03</v>
      </c>
      <c r="M69" s="17">
        <f t="shared" si="6"/>
        <v>6.0572562043795615E-3</v>
      </c>
      <c r="N69" s="8">
        <v>1.67E-2</v>
      </c>
      <c r="O69" s="7">
        <v>1.23</v>
      </c>
      <c r="P69" s="7" t="s">
        <v>40</v>
      </c>
      <c r="Q69" s="11">
        <v>44.02</v>
      </c>
      <c r="R69" s="7">
        <v>28</v>
      </c>
      <c r="S69" s="7">
        <v>28</v>
      </c>
    </row>
    <row r="70" spans="1:19" x14ac:dyDescent="0.25">
      <c r="A70" s="5" t="s">
        <v>26</v>
      </c>
      <c r="B70" s="5" t="s">
        <v>21</v>
      </c>
      <c r="C70" s="7">
        <v>3</v>
      </c>
      <c r="D70" s="7" t="s">
        <v>54</v>
      </c>
      <c r="E70" s="16">
        <v>61267</v>
      </c>
      <c r="F70" s="16">
        <v>105950</v>
      </c>
      <c r="G70" s="11">
        <v>146.79976512037601</v>
      </c>
      <c r="H70" s="7">
        <v>100</v>
      </c>
      <c r="I70" s="10">
        <f t="shared" si="5"/>
        <v>1.46799765120376</v>
      </c>
      <c r="J70" s="11">
        <v>0.57830000000000004</v>
      </c>
      <c r="K70" s="10">
        <f t="shared" si="4"/>
        <v>0.84894304169113444</v>
      </c>
      <c r="L70" s="21">
        <v>6072.03</v>
      </c>
      <c r="M70" s="17">
        <f t="shared" si="6"/>
        <v>5.154807617439818E-3</v>
      </c>
      <c r="N70" s="8">
        <v>1.0500000000000001E-2</v>
      </c>
      <c r="O70" s="7">
        <v>1.51</v>
      </c>
      <c r="P70" s="7" t="s">
        <v>40</v>
      </c>
      <c r="Q70" s="11">
        <v>43.64</v>
      </c>
      <c r="R70" s="7">
        <v>27</v>
      </c>
      <c r="S70" s="7">
        <v>27</v>
      </c>
    </row>
    <row r="71" spans="1:19" x14ac:dyDescent="0.25">
      <c r="A71" s="5" t="s">
        <v>26</v>
      </c>
      <c r="B71" s="5" t="s">
        <v>21</v>
      </c>
      <c r="C71" s="7">
        <v>3</v>
      </c>
      <c r="D71" s="7" t="s">
        <v>55</v>
      </c>
      <c r="E71" s="16">
        <v>67578</v>
      </c>
      <c r="F71" s="16">
        <v>107074</v>
      </c>
      <c r="G71" s="11">
        <v>176.74089784376105</v>
      </c>
      <c r="H71" s="7">
        <v>100</v>
      </c>
      <c r="I71" s="10">
        <f t="shared" si="5"/>
        <v>1.7674089784376106</v>
      </c>
      <c r="J71" s="11">
        <v>0.63109999999999999</v>
      </c>
      <c r="K71" s="10">
        <f t="shared" si="4"/>
        <v>1.115411806291976</v>
      </c>
      <c r="L71" s="21">
        <v>6072.03</v>
      </c>
      <c r="M71" s="17">
        <f t="shared" si="6"/>
        <v>6.7728139501590668E-3</v>
      </c>
      <c r="N71" s="8">
        <v>1.4500000000000001E-2</v>
      </c>
      <c r="O71" s="7">
        <v>1.32</v>
      </c>
      <c r="P71" s="7" t="s">
        <v>40</v>
      </c>
      <c r="Q71" s="11">
        <v>43.43</v>
      </c>
      <c r="R71" s="7">
        <v>26</v>
      </c>
      <c r="S71" s="7">
        <v>26</v>
      </c>
    </row>
    <row r="72" spans="1:19" x14ac:dyDescent="0.25">
      <c r="A72" s="5" t="s">
        <v>26</v>
      </c>
      <c r="B72" s="5" t="s">
        <v>21</v>
      </c>
      <c r="C72" s="7">
        <v>3</v>
      </c>
      <c r="D72" s="7" t="s">
        <v>56</v>
      </c>
      <c r="E72" s="16">
        <v>110929</v>
      </c>
      <c r="F72" s="16">
        <v>157434</v>
      </c>
      <c r="G72" s="11">
        <v>181.22508155128671</v>
      </c>
      <c r="H72" s="7">
        <v>100</v>
      </c>
      <c r="I72" s="10">
        <f t="shared" si="5"/>
        <v>1.8122508155128672</v>
      </c>
      <c r="J72" s="11">
        <v>0.7046</v>
      </c>
      <c r="K72" s="10">
        <f t="shared" si="4"/>
        <v>1.2769119246103662</v>
      </c>
      <c r="L72" s="21">
        <v>6072.03</v>
      </c>
      <c r="M72" s="17">
        <f t="shared" si="6"/>
        <v>7.7534475135918809E-3</v>
      </c>
      <c r="N72" s="8">
        <v>9.6500000000000006E-3</v>
      </c>
      <c r="O72" s="7">
        <v>1.56</v>
      </c>
      <c r="P72" s="7" t="s">
        <v>40</v>
      </c>
      <c r="Q72" s="11">
        <v>44.04</v>
      </c>
      <c r="R72" s="7">
        <v>28</v>
      </c>
      <c r="S72" s="7">
        <v>28</v>
      </c>
    </row>
    <row r="73" spans="1:19" x14ac:dyDescent="0.25">
      <c r="A73" s="5" t="s">
        <v>26</v>
      </c>
      <c r="B73" s="5" t="s">
        <v>21</v>
      </c>
      <c r="C73" s="7">
        <v>3</v>
      </c>
      <c r="D73" s="7" t="s">
        <v>57</v>
      </c>
      <c r="E73" s="16">
        <v>37224</v>
      </c>
      <c r="F73" s="16">
        <v>125336</v>
      </c>
      <c r="G73" s="11">
        <v>173.79214459506429</v>
      </c>
      <c r="H73" s="7">
        <v>100</v>
      </c>
      <c r="I73" s="10">
        <f t="shared" si="5"/>
        <v>1.7379214459506429</v>
      </c>
      <c r="J73" s="11">
        <v>0.29699999999999999</v>
      </c>
      <c r="K73" s="10">
        <f t="shared" si="4"/>
        <v>0.5161626694473409</v>
      </c>
      <c r="L73" s="21">
        <v>6072.03</v>
      </c>
      <c r="M73" s="17">
        <f t="shared" si="6"/>
        <v>3.134155213764337E-3</v>
      </c>
      <c r="N73" s="8">
        <v>1.6199999999999999E-2</v>
      </c>
      <c r="O73" s="7">
        <v>1.25</v>
      </c>
      <c r="P73" s="7" t="s">
        <v>40</v>
      </c>
      <c r="Q73" s="11">
        <v>43.95</v>
      </c>
      <c r="R73" s="7">
        <v>26</v>
      </c>
      <c r="S73" s="7">
        <v>26</v>
      </c>
    </row>
    <row r="74" spans="1:19" x14ac:dyDescent="0.25">
      <c r="A74" s="5" t="s">
        <v>26</v>
      </c>
      <c r="B74" s="5" t="s">
        <v>18</v>
      </c>
      <c r="C74" s="7">
        <v>3</v>
      </c>
      <c r="D74" s="7" t="s">
        <v>54</v>
      </c>
      <c r="E74" s="16">
        <v>69909</v>
      </c>
      <c r="F74" s="16">
        <v>249073</v>
      </c>
      <c r="G74" s="11">
        <v>146.79976512037601</v>
      </c>
      <c r="H74" s="7">
        <v>1</v>
      </c>
      <c r="I74" s="10">
        <f t="shared" si="5"/>
        <v>146.79976512037601</v>
      </c>
      <c r="J74" s="11">
        <v>0.28070000000000001</v>
      </c>
      <c r="K74" s="10">
        <f t="shared" si="4"/>
        <v>41.206694069289547</v>
      </c>
      <c r="L74" s="21">
        <v>6072.03</v>
      </c>
      <c r="M74" s="17">
        <f t="shared" si="6"/>
        <v>0.25020828258954819</v>
      </c>
      <c r="N74" s="8">
        <v>3.9199999999999999E-3</v>
      </c>
      <c r="O74" s="11">
        <v>2.0699999999999998</v>
      </c>
      <c r="P74" s="7" t="s">
        <v>40</v>
      </c>
      <c r="Q74" s="11">
        <v>49.45</v>
      </c>
      <c r="R74" s="7">
        <v>29</v>
      </c>
      <c r="S74" s="7">
        <v>29</v>
      </c>
    </row>
    <row r="75" spans="1:19" x14ac:dyDescent="0.25">
      <c r="A75" s="5" t="s">
        <v>26</v>
      </c>
      <c r="B75" s="5" t="s">
        <v>18</v>
      </c>
      <c r="C75" s="7">
        <v>3</v>
      </c>
      <c r="D75" s="7" t="s">
        <v>55</v>
      </c>
      <c r="E75" s="16">
        <v>41099</v>
      </c>
      <c r="F75" s="16">
        <v>331971</v>
      </c>
      <c r="G75" s="11">
        <v>176.74089784376105</v>
      </c>
      <c r="H75" s="7">
        <v>1</v>
      </c>
      <c r="I75" s="10">
        <f t="shared" si="5"/>
        <v>176.74089784376105</v>
      </c>
      <c r="J75" s="11">
        <v>0.12379999999999999</v>
      </c>
      <c r="K75" s="10">
        <f t="shared" si="4"/>
        <v>21.880523153057617</v>
      </c>
      <c r="L75" s="21">
        <v>6072.03</v>
      </c>
      <c r="M75" s="17">
        <f t="shared" si="6"/>
        <v>0.13285919300106042</v>
      </c>
      <c r="N75" s="8">
        <v>4.5599999999999998E-3</v>
      </c>
      <c r="O75" s="11">
        <v>1.99</v>
      </c>
      <c r="P75" s="7" t="s">
        <v>40</v>
      </c>
      <c r="Q75" s="11">
        <v>49.12</v>
      </c>
      <c r="R75" s="7">
        <v>31</v>
      </c>
      <c r="S75" s="7">
        <v>31</v>
      </c>
    </row>
    <row r="76" spans="1:19" x14ac:dyDescent="0.25">
      <c r="A76" s="5" t="s">
        <v>26</v>
      </c>
      <c r="B76" s="5" t="s">
        <v>18</v>
      </c>
      <c r="C76" s="7">
        <v>3</v>
      </c>
      <c r="D76" s="7" t="s">
        <v>56</v>
      </c>
      <c r="E76" s="16">
        <v>59786</v>
      </c>
      <c r="F76" s="16">
        <v>210556</v>
      </c>
      <c r="G76" s="11">
        <v>181.22508155128671</v>
      </c>
      <c r="H76" s="7">
        <v>1</v>
      </c>
      <c r="I76" s="10">
        <f t="shared" si="5"/>
        <v>181.22508155128671</v>
      </c>
      <c r="J76" s="11">
        <v>0.28389999999999999</v>
      </c>
      <c r="K76" s="10">
        <f t="shared" si="4"/>
        <v>51.449800652410296</v>
      </c>
      <c r="L76" s="21">
        <v>6072.03</v>
      </c>
      <c r="M76" s="17">
        <f t="shared" si="6"/>
        <v>0.31240473305545485</v>
      </c>
      <c r="N76" s="8">
        <v>7.1500000000000001E-3</v>
      </c>
      <c r="O76" s="11">
        <v>1.74</v>
      </c>
      <c r="P76" s="7" t="s">
        <v>40</v>
      </c>
      <c r="Q76" s="11">
        <v>49.26</v>
      </c>
      <c r="R76" s="7">
        <v>23</v>
      </c>
      <c r="S76" s="7">
        <v>23</v>
      </c>
    </row>
    <row r="77" spans="1:19" x14ac:dyDescent="0.25">
      <c r="A77" s="5" t="s">
        <v>26</v>
      </c>
      <c r="B77" s="5" t="s">
        <v>18</v>
      </c>
      <c r="C77" s="7">
        <v>3</v>
      </c>
      <c r="D77" s="7" t="s">
        <v>57</v>
      </c>
      <c r="E77" s="16">
        <v>16480</v>
      </c>
      <c r="F77" s="16">
        <v>839455</v>
      </c>
      <c r="G77" s="11">
        <v>173.79214459506429</v>
      </c>
      <c r="H77" s="7">
        <v>1</v>
      </c>
      <c r="I77" s="10">
        <f t="shared" si="5"/>
        <v>173.79214459506429</v>
      </c>
      <c r="J77" s="11">
        <v>1.9599999999999999E-2</v>
      </c>
      <c r="K77" s="10">
        <f t="shared" si="4"/>
        <v>3.4063260340632597</v>
      </c>
      <c r="L77" s="21">
        <v>6072.03</v>
      </c>
      <c r="M77" s="17">
        <f t="shared" si="6"/>
        <v>2.0683313868613135E-2</v>
      </c>
      <c r="N77" s="8">
        <v>4.1399999999999996E-3</v>
      </c>
      <c r="O77" s="11">
        <v>2.04</v>
      </c>
      <c r="P77" s="7" t="s">
        <v>40</v>
      </c>
      <c r="Q77" s="11">
        <v>49.35</v>
      </c>
      <c r="R77" s="7">
        <v>23</v>
      </c>
      <c r="S77" s="7">
        <v>23</v>
      </c>
    </row>
    <row r="78" spans="1:19" x14ac:dyDescent="0.25">
      <c r="A78" s="5" t="s">
        <v>26</v>
      </c>
      <c r="B78" s="5" t="s">
        <v>18</v>
      </c>
      <c r="C78" s="7">
        <v>3</v>
      </c>
      <c r="D78" s="7" t="s">
        <v>54</v>
      </c>
      <c r="E78" s="16">
        <v>240602</v>
      </c>
      <c r="F78" s="16">
        <v>99524</v>
      </c>
      <c r="G78" s="11">
        <v>146.79976512037601</v>
      </c>
      <c r="H78" s="7">
        <v>10</v>
      </c>
      <c r="I78" s="10">
        <f t="shared" si="5"/>
        <v>14.679976512037602</v>
      </c>
      <c r="J78" s="11">
        <v>2.4175</v>
      </c>
      <c r="K78" s="10">
        <f t="shared" si="4"/>
        <v>35.488843217850899</v>
      </c>
      <c r="L78" s="21">
        <v>6072.03</v>
      </c>
      <c r="M78" s="17">
        <f t="shared" si="6"/>
        <v>0.21548932068408719</v>
      </c>
      <c r="N78" s="8">
        <v>2.81E-3</v>
      </c>
      <c r="O78" s="11">
        <v>2.25</v>
      </c>
      <c r="P78" s="7" t="s">
        <v>40</v>
      </c>
      <c r="Q78" s="11">
        <v>49.19</v>
      </c>
      <c r="R78" s="7">
        <v>40</v>
      </c>
      <c r="S78" s="7">
        <v>40</v>
      </c>
    </row>
    <row r="79" spans="1:19" x14ac:dyDescent="0.25">
      <c r="A79" s="5" t="s">
        <v>26</v>
      </c>
      <c r="B79" s="5" t="s">
        <v>18</v>
      </c>
      <c r="C79" s="7">
        <v>3</v>
      </c>
      <c r="D79" s="7" t="s">
        <v>55</v>
      </c>
      <c r="E79" s="16">
        <v>241671</v>
      </c>
      <c r="F79" s="16">
        <v>23204</v>
      </c>
      <c r="G79" s="11">
        <v>176.74089784376105</v>
      </c>
      <c r="H79" s="7">
        <v>10</v>
      </c>
      <c r="I79" s="10">
        <f t="shared" si="5"/>
        <v>17.674089784376104</v>
      </c>
      <c r="J79" s="11">
        <v>10.415100000000001</v>
      </c>
      <c r="K79" s="10">
        <f t="shared" si="4"/>
        <v>184.07741251325558</v>
      </c>
      <c r="L79" s="21">
        <v>6072.03</v>
      </c>
      <c r="M79" s="17">
        <f t="shared" si="6"/>
        <v>1.1177235711028632</v>
      </c>
      <c r="N79" s="8">
        <v>2.3900000000000002E-3</v>
      </c>
      <c r="O79" s="11">
        <v>2.3199999999999998</v>
      </c>
      <c r="P79" s="7" t="s">
        <v>40</v>
      </c>
      <c r="Q79" s="11">
        <v>49.43</v>
      </c>
      <c r="R79" s="7">
        <v>28</v>
      </c>
      <c r="S79" s="7">
        <v>28</v>
      </c>
    </row>
    <row r="80" spans="1:19" x14ac:dyDescent="0.25">
      <c r="A80" s="5" t="s">
        <v>26</v>
      </c>
      <c r="B80" s="5" t="s">
        <v>18</v>
      </c>
      <c r="C80" s="7">
        <v>3</v>
      </c>
      <c r="D80" s="7" t="s">
        <v>56</v>
      </c>
      <c r="E80" s="16">
        <v>195725</v>
      </c>
      <c r="F80" s="16">
        <v>60268</v>
      </c>
      <c r="G80" s="11">
        <v>181.22508155128671</v>
      </c>
      <c r="H80" s="7">
        <v>10</v>
      </c>
      <c r="I80" s="10">
        <f t="shared" si="5"/>
        <v>18.122508155128671</v>
      </c>
      <c r="J80" s="11">
        <v>3.2475999999999998</v>
      </c>
      <c r="K80" s="10">
        <f t="shared" si="4"/>
        <v>58.854657484595869</v>
      </c>
      <c r="L80" s="21">
        <v>6072.03</v>
      </c>
      <c r="M80" s="17">
        <f t="shared" si="6"/>
        <v>0.35736724588619062</v>
      </c>
      <c r="N80" s="8">
        <v>2.8600000000000001E-3</v>
      </c>
      <c r="O80" s="11">
        <v>2.2400000000000002</v>
      </c>
      <c r="P80" s="7" t="s">
        <v>40</v>
      </c>
      <c r="Q80" s="11">
        <v>49.52</v>
      </c>
      <c r="R80" s="7">
        <v>32</v>
      </c>
      <c r="S80" s="7">
        <v>32</v>
      </c>
    </row>
    <row r="81" spans="1:19" x14ac:dyDescent="0.25">
      <c r="A81" s="5" t="s">
        <v>26</v>
      </c>
      <c r="B81" s="5" t="s">
        <v>18</v>
      </c>
      <c r="C81" s="7">
        <v>3</v>
      </c>
      <c r="D81" s="7" t="s">
        <v>57</v>
      </c>
      <c r="E81" s="16">
        <v>144808</v>
      </c>
      <c r="F81" s="16">
        <v>43896</v>
      </c>
      <c r="G81" s="11">
        <v>173.79214459506429</v>
      </c>
      <c r="H81" s="7">
        <v>10</v>
      </c>
      <c r="I81" s="10">
        <f t="shared" si="5"/>
        <v>17.379214459506429</v>
      </c>
      <c r="J81" s="11">
        <v>3.2989000000000002</v>
      </c>
      <c r="K81" s="10">
        <f t="shared" si="4"/>
        <v>57.332290580465759</v>
      </c>
      <c r="L81" s="21">
        <v>6072.03</v>
      </c>
      <c r="M81" s="17">
        <f t="shared" si="6"/>
        <v>0.34812338837330548</v>
      </c>
      <c r="N81" s="8">
        <v>2.81E-3</v>
      </c>
      <c r="O81" s="11">
        <v>2.25</v>
      </c>
      <c r="P81" s="7" t="s">
        <v>40</v>
      </c>
      <c r="Q81" s="11">
        <v>49.33</v>
      </c>
      <c r="R81" s="7">
        <v>30</v>
      </c>
      <c r="S81" s="7">
        <v>30</v>
      </c>
    </row>
    <row r="82" spans="1:19" x14ac:dyDescent="0.25">
      <c r="A82" s="5" t="s">
        <v>26</v>
      </c>
      <c r="B82" s="5" t="s">
        <v>18</v>
      </c>
      <c r="C82" s="7">
        <v>3</v>
      </c>
      <c r="D82" s="7" t="s">
        <v>54</v>
      </c>
      <c r="E82" s="16">
        <v>208887</v>
      </c>
      <c r="F82" s="16">
        <v>54427</v>
      </c>
      <c r="G82" s="11">
        <v>146.79976512037601</v>
      </c>
      <c r="H82" s="7">
        <v>100</v>
      </c>
      <c r="I82" s="10">
        <f t="shared" si="5"/>
        <v>1.46799765120376</v>
      </c>
      <c r="J82" s="11">
        <v>3.8378999999999999</v>
      </c>
      <c r="K82" s="10">
        <f t="shared" si="4"/>
        <v>5.6340281855549108</v>
      </c>
      <c r="L82" s="21">
        <v>6072.03</v>
      </c>
      <c r="M82" s="17">
        <f t="shared" si="6"/>
        <v>3.4209988163534981E-2</v>
      </c>
      <c r="N82" s="8">
        <v>3.1199999999999999E-3</v>
      </c>
      <c r="O82" s="11">
        <v>2.19</v>
      </c>
      <c r="P82" s="7" t="s">
        <v>40</v>
      </c>
      <c r="Q82" s="11">
        <v>49.31</v>
      </c>
      <c r="R82" s="7">
        <v>33</v>
      </c>
      <c r="S82" s="7">
        <v>33</v>
      </c>
    </row>
    <row r="83" spans="1:19" x14ac:dyDescent="0.25">
      <c r="A83" s="5" t="s">
        <v>26</v>
      </c>
      <c r="B83" s="5" t="s">
        <v>18</v>
      </c>
      <c r="C83" s="7">
        <v>3</v>
      </c>
      <c r="D83" s="7" t="s">
        <v>55</v>
      </c>
      <c r="E83" s="16">
        <v>209446</v>
      </c>
      <c r="F83" s="16">
        <v>35206</v>
      </c>
      <c r="G83" s="11">
        <v>176.74089784376105</v>
      </c>
      <c r="H83" s="7">
        <v>100</v>
      </c>
      <c r="I83" s="10">
        <f t="shared" si="5"/>
        <v>1.7674089784376106</v>
      </c>
      <c r="J83" s="11">
        <v>5.9490999999999996</v>
      </c>
      <c r="K83" s="10">
        <f t="shared" si="4"/>
        <v>10.514492753623188</v>
      </c>
      <c r="L83" s="21">
        <v>6072.03</v>
      </c>
      <c r="M83" s="17">
        <f t="shared" si="6"/>
        <v>6.3844315434782598E-2</v>
      </c>
      <c r="N83" s="8">
        <v>2.81E-3</v>
      </c>
      <c r="O83" s="11">
        <v>2.25</v>
      </c>
      <c r="P83" s="7" t="s">
        <v>40</v>
      </c>
      <c r="Q83" s="11">
        <v>49.5</v>
      </c>
      <c r="R83" s="7">
        <v>30</v>
      </c>
      <c r="S83" s="7">
        <v>30</v>
      </c>
    </row>
    <row r="84" spans="1:19" x14ac:dyDescent="0.25">
      <c r="A84" s="5" t="s">
        <v>26</v>
      </c>
      <c r="B84" s="5" t="s">
        <v>18</v>
      </c>
      <c r="C84" s="7">
        <v>3</v>
      </c>
      <c r="D84" s="7" t="s">
        <v>56</v>
      </c>
      <c r="E84" s="16">
        <v>215725</v>
      </c>
      <c r="F84" s="16">
        <v>43460</v>
      </c>
      <c r="G84" s="11">
        <v>181.22508155128671</v>
      </c>
      <c r="H84" s="7">
        <v>100</v>
      </c>
      <c r="I84" s="10">
        <f t="shared" si="5"/>
        <v>1.8122508155128672</v>
      </c>
      <c r="J84" s="11">
        <v>4.9637000000000002</v>
      </c>
      <c r="K84" s="10">
        <f t="shared" si="4"/>
        <v>8.9954693729612192</v>
      </c>
      <c r="L84" s="21">
        <v>6072.03</v>
      </c>
      <c r="M84" s="17">
        <f t="shared" si="6"/>
        <v>5.4620759896701711E-2</v>
      </c>
      <c r="N84" s="8">
        <v>3.0100000000000001E-3</v>
      </c>
      <c r="O84" s="11">
        <v>2.21</v>
      </c>
      <c r="P84" s="7" t="s">
        <v>40</v>
      </c>
      <c r="Q84" s="11">
        <v>49.56</v>
      </c>
      <c r="R84" s="7">
        <v>30</v>
      </c>
      <c r="S84" s="7">
        <v>30</v>
      </c>
    </row>
    <row r="85" spans="1:19" x14ac:dyDescent="0.25">
      <c r="A85" s="5" t="s">
        <v>26</v>
      </c>
      <c r="B85" s="5" t="s">
        <v>18</v>
      </c>
      <c r="C85" s="7">
        <v>3</v>
      </c>
      <c r="D85" s="7" t="s">
        <v>57</v>
      </c>
      <c r="E85" s="16">
        <v>155418</v>
      </c>
      <c r="F85" s="16">
        <v>37274</v>
      </c>
      <c r="G85" s="11">
        <v>173.79214459506429</v>
      </c>
      <c r="H85" s="7">
        <v>100</v>
      </c>
      <c r="I85" s="10">
        <f t="shared" si="5"/>
        <v>1.7379214459506429</v>
      </c>
      <c r="J85" s="11">
        <v>4.1696</v>
      </c>
      <c r="K85" s="10">
        <f t="shared" si="4"/>
        <v>7.2464372610358003</v>
      </c>
      <c r="L85" s="21">
        <v>6072.03</v>
      </c>
      <c r="M85" s="17">
        <f t="shared" si="6"/>
        <v>4.4000584442127212E-2</v>
      </c>
      <c r="N85" s="8">
        <v>3.6800000000000001E-3</v>
      </c>
      <c r="O85" s="11">
        <v>2.11</v>
      </c>
      <c r="P85" s="7" t="s">
        <v>40</v>
      </c>
      <c r="Q85" s="11">
        <v>49.24</v>
      </c>
      <c r="R85" s="7">
        <v>27</v>
      </c>
      <c r="S85" s="7">
        <v>27</v>
      </c>
    </row>
    <row r="86" spans="1:19" x14ac:dyDescent="0.25">
      <c r="A86" s="5" t="s">
        <v>22</v>
      </c>
      <c r="B86" s="5" t="s">
        <v>9</v>
      </c>
      <c r="C86" s="7">
        <v>3</v>
      </c>
      <c r="D86" s="7" t="s">
        <v>54</v>
      </c>
      <c r="E86" s="16">
        <v>24022</v>
      </c>
      <c r="F86" s="16">
        <v>299177</v>
      </c>
      <c r="G86" s="11">
        <v>146.79976512037581</v>
      </c>
      <c r="H86" s="7">
        <v>1</v>
      </c>
      <c r="I86" s="10">
        <f t="shared" si="5"/>
        <v>146.79976512037581</v>
      </c>
      <c r="J86" s="11">
        <v>8.0299999999999996E-2</v>
      </c>
      <c r="K86" s="10">
        <f t="shared" ref="K86:K117" si="7">J86*I86</f>
        <v>11.788021139166178</v>
      </c>
      <c r="L86" s="21">
        <v>16846.099999999999</v>
      </c>
      <c r="M86" s="17">
        <f t="shared" si="6"/>
        <v>0.19858218291250732</v>
      </c>
      <c r="N86" s="8">
        <v>5.8500000000000002E-4</v>
      </c>
      <c r="O86" s="11">
        <v>2.61</v>
      </c>
      <c r="P86" s="7" t="s">
        <v>40</v>
      </c>
      <c r="Q86" s="11">
        <v>16.77</v>
      </c>
      <c r="R86" s="7">
        <v>16</v>
      </c>
      <c r="S86" s="7">
        <v>16</v>
      </c>
    </row>
    <row r="87" spans="1:19" x14ac:dyDescent="0.25">
      <c r="A87" s="5" t="s">
        <v>22</v>
      </c>
      <c r="B87" s="5" t="s">
        <v>9</v>
      </c>
      <c r="C87" s="7">
        <v>3</v>
      </c>
      <c r="D87" s="7" t="s">
        <v>55</v>
      </c>
      <c r="E87" s="16">
        <v>27682</v>
      </c>
      <c r="F87" s="16">
        <v>405980</v>
      </c>
      <c r="G87" s="11">
        <v>176.74089784376105</v>
      </c>
      <c r="H87" s="7">
        <v>1</v>
      </c>
      <c r="I87" s="10">
        <f t="shared" si="5"/>
        <v>176.74089784376105</v>
      </c>
      <c r="J87" s="11">
        <v>6.8199999999999997E-2</v>
      </c>
      <c r="K87" s="10">
        <f t="shared" si="7"/>
        <v>12.053729232944503</v>
      </c>
      <c r="L87" s="21">
        <v>16846.099999999999</v>
      </c>
      <c r="M87" s="17">
        <f t="shared" si="6"/>
        <v>0.20305832803110638</v>
      </c>
      <c r="N87" s="8">
        <v>1.17E-3</v>
      </c>
      <c r="O87" s="11">
        <v>2.2999999999999998</v>
      </c>
      <c r="P87" s="7" t="s">
        <v>40</v>
      </c>
      <c r="Q87" s="11">
        <v>16.37</v>
      </c>
      <c r="R87" s="7">
        <v>18</v>
      </c>
      <c r="S87" s="7">
        <v>18</v>
      </c>
    </row>
    <row r="88" spans="1:19" x14ac:dyDescent="0.25">
      <c r="A88" s="5" t="s">
        <v>22</v>
      </c>
      <c r="B88" s="5" t="s">
        <v>9</v>
      </c>
      <c r="C88" s="7">
        <v>3</v>
      </c>
      <c r="D88" s="7" t="s">
        <v>56</v>
      </c>
      <c r="E88" s="16">
        <v>35471</v>
      </c>
      <c r="F88" s="16">
        <v>579989</v>
      </c>
      <c r="G88" s="11">
        <v>181.22508155128671</v>
      </c>
      <c r="H88" s="7">
        <v>1</v>
      </c>
      <c r="I88" s="10">
        <f t="shared" si="5"/>
        <v>181.22508155128671</v>
      </c>
      <c r="J88" s="11">
        <v>6.1199999999999997E-2</v>
      </c>
      <c r="K88" s="10">
        <f t="shared" si="7"/>
        <v>11.090974990938745</v>
      </c>
      <c r="L88" s="21">
        <v>16846.099999999999</v>
      </c>
      <c r="M88" s="17">
        <f t="shared" si="6"/>
        <v>0.18683967379485317</v>
      </c>
      <c r="N88" s="8">
        <v>6.0800000000000001E-5</v>
      </c>
      <c r="O88" s="11">
        <v>3.47</v>
      </c>
      <c r="P88" s="7" t="s">
        <v>39</v>
      </c>
      <c r="Q88" s="11">
        <v>15.72</v>
      </c>
      <c r="R88" s="7">
        <v>15</v>
      </c>
      <c r="S88" s="7">
        <v>15</v>
      </c>
    </row>
    <row r="89" spans="1:19" x14ac:dyDescent="0.25">
      <c r="A89" s="5" t="s">
        <v>22</v>
      </c>
      <c r="B89" s="5" t="s">
        <v>9</v>
      </c>
      <c r="C89" s="7">
        <v>3</v>
      </c>
      <c r="D89" s="7" t="s">
        <v>57</v>
      </c>
      <c r="E89" s="16">
        <v>35307</v>
      </c>
      <c r="F89" s="16">
        <v>591232</v>
      </c>
      <c r="G89" s="11">
        <v>173.79214459506429</v>
      </c>
      <c r="H89" s="7">
        <v>1</v>
      </c>
      <c r="I89" s="10">
        <f t="shared" si="5"/>
        <v>173.79214459506429</v>
      </c>
      <c r="J89" s="11">
        <v>5.9700000000000003E-2</v>
      </c>
      <c r="K89" s="10">
        <f t="shared" si="7"/>
        <v>10.375391032325338</v>
      </c>
      <c r="L89" s="21">
        <v>16846.099999999999</v>
      </c>
      <c r="M89" s="17">
        <f t="shared" si="6"/>
        <v>0.17478487486965585</v>
      </c>
      <c r="N89" s="8">
        <v>1.47E-4</v>
      </c>
      <c r="O89" s="11">
        <v>3.12</v>
      </c>
      <c r="P89" s="7" t="s">
        <v>39</v>
      </c>
      <c r="Q89" s="11">
        <v>15.78</v>
      </c>
      <c r="R89" s="7">
        <v>19</v>
      </c>
      <c r="S89" s="7">
        <v>19</v>
      </c>
    </row>
    <row r="90" spans="1:19" x14ac:dyDescent="0.25">
      <c r="A90" s="5" t="s">
        <v>22</v>
      </c>
      <c r="B90" s="5" t="s">
        <v>9</v>
      </c>
      <c r="C90" s="7">
        <v>3</v>
      </c>
      <c r="D90" s="7" t="s">
        <v>54</v>
      </c>
      <c r="E90" s="16">
        <v>21892</v>
      </c>
      <c r="F90" s="16">
        <v>28870</v>
      </c>
      <c r="G90" s="11">
        <v>146.79976512037581</v>
      </c>
      <c r="H90" s="7">
        <v>10</v>
      </c>
      <c r="I90" s="10">
        <f t="shared" si="5"/>
        <v>14.67997651203758</v>
      </c>
      <c r="J90" s="11">
        <v>0.75829999999999997</v>
      </c>
      <c r="K90" s="10">
        <f t="shared" si="7"/>
        <v>11.131826189078097</v>
      </c>
      <c r="L90" s="21">
        <v>16846.099999999999</v>
      </c>
      <c r="M90" s="17">
        <f t="shared" si="6"/>
        <v>0.1875278571638285</v>
      </c>
      <c r="N90" s="8">
        <v>6.1600000000000001E-4</v>
      </c>
      <c r="O90" s="11">
        <v>2.59</v>
      </c>
      <c r="P90" s="7" t="s">
        <v>40</v>
      </c>
      <c r="Q90" s="11">
        <v>16.8</v>
      </c>
      <c r="R90" s="7">
        <v>12</v>
      </c>
      <c r="S90" s="7">
        <v>12</v>
      </c>
    </row>
    <row r="91" spans="1:19" x14ac:dyDescent="0.25">
      <c r="A91" s="5" t="s">
        <v>22</v>
      </c>
      <c r="B91" s="5" t="s">
        <v>9</v>
      </c>
      <c r="C91" s="7">
        <v>3</v>
      </c>
      <c r="D91" s="7" t="s">
        <v>55</v>
      </c>
      <c r="E91" s="16">
        <v>20445</v>
      </c>
      <c r="F91" s="16">
        <v>24550</v>
      </c>
      <c r="G91" s="11">
        <v>176.74089784376105</v>
      </c>
      <c r="H91" s="7">
        <v>10</v>
      </c>
      <c r="I91" s="10">
        <f t="shared" si="5"/>
        <v>17.674089784376104</v>
      </c>
      <c r="J91" s="11">
        <v>0.83279999999999998</v>
      </c>
      <c r="K91" s="10">
        <f t="shared" si="7"/>
        <v>14.71898197242842</v>
      </c>
      <c r="L91" s="21">
        <v>16846.099999999999</v>
      </c>
      <c r="M91" s="17">
        <f t="shared" si="6"/>
        <v>0.24795744220572638</v>
      </c>
      <c r="N91" s="8">
        <v>1.08E-4</v>
      </c>
      <c r="O91" s="11">
        <v>3.25</v>
      </c>
      <c r="P91" s="7" t="s">
        <v>40</v>
      </c>
      <c r="Q91" s="11">
        <v>18.59</v>
      </c>
      <c r="R91" s="7">
        <v>12</v>
      </c>
      <c r="S91" s="7">
        <v>12</v>
      </c>
    </row>
    <row r="92" spans="1:19" x14ac:dyDescent="0.25">
      <c r="A92" s="5" t="s">
        <v>22</v>
      </c>
      <c r="B92" s="5" t="s">
        <v>9</v>
      </c>
      <c r="C92" s="7">
        <v>3</v>
      </c>
      <c r="D92" s="7" t="s">
        <v>56</v>
      </c>
      <c r="E92" s="16">
        <v>22952</v>
      </c>
      <c r="F92" s="16">
        <v>41172</v>
      </c>
      <c r="G92" s="11">
        <v>181.22508155128671</v>
      </c>
      <c r="H92" s="7">
        <v>10</v>
      </c>
      <c r="I92" s="10">
        <f t="shared" si="5"/>
        <v>18.122508155128671</v>
      </c>
      <c r="J92" s="11">
        <v>0.5575</v>
      </c>
      <c r="K92" s="10">
        <f t="shared" si="7"/>
        <v>10.103298296484233</v>
      </c>
      <c r="L92" s="21">
        <v>16846.099999999999</v>
      </c>
      <c r="M92" s="17">
        <f t="shared" si="6"/>
        <v>0.17020117343240304</v>
      </c>
      <c r="N92" s="8">
        <v>1.07E-3</v>
      </c>
      <c r="O92" s="11">
        <v>2.34</v>
      </c>
      <c r="P92" s="7" t="s">
        <v>40</v>
      </c>
      <c r="Q92" s="11">
        <v>17.12</v>
      </c>
      <c r="R92" s="7">
        <v>18</v>
      </c>
      <c r="S92" s="7">
        <v>18</v>
      </c>
    </row>
    <row r="93" spans="1:19" x14ac:dyDescent="0.25">
      <c r="A93" s="5" t="s">
        <v>22</v>
      </c>
      <c r="B93" s="5" t="s">
        <v>9</v>
      </c>
      <c r="C93" s="7">
        <v>3</v>
      </c>
      <c r="D93" s="7" t="s">
        <v>57</v>
      </c>
      <c r="E93" s="16">
        <v>29001</v>
      </c>
      <c r="F93" s="16">
        <v>39060</v>
      </c>
      <c r="G93" s="11">
        <v>173.79214459506429</v>
      </c>
      <c r="H93" s="7">
        <v>10</v>
      </c>
      <c r="I93" s="10">
        <f t="shared" si="5"/>
        <v>17.379214459506429</v>
      </c>
      <c r="J93" s="11">
        <v>0.74250000000000005</v>
      </c>
      <c r="K93" s="10">
        <f t="shared" si="7"/>
        <v>12.904066736183523</v>
      </c>
      <c r="L93" s="21">
        <v>16846.099999999999</v>
      </c>
      <c r="M93" s="17">
        <f t="shared" si="6"/>
        <v>0.21738319864442124</v>
      </c>
      <c r="N93" s="8">
        <v>1.76E-4</v>
      </c>
      <c r="O93" s="11">
        <v>3.06</v>
      </c>
      <c r="P93" s="7" t="s">
        <v>40</v>
      </c>
      <c r="Q93" s="11">
        <v>16.899999999999999</v>
      </c>
      <c r="R93" s="7">
        <v>14</v>
      </c>
      <c r="S93" s="7">
        <v>14</v>
      </c>
    </row>
    <row r="94" spans="1:19" x14ac:dyDescent="0.25">
      <c r="A94" s="5" t="s">
        <v>22</v>
      </c>
      <c r="B94" s="5" t="s">
        <v>9</v>
      </c>
      <c r="C94" s="7">
        <v>3</v>
      </c>
      <c r="D94" s="7" t="s">
        <v>54</v>
      </c>
      <c r="E94" s="16">
        <v>23060</v>
      </c>
      <c r="F94" s="16">
        <v>17590</v>
      </c>
      <c r="G94" s="11">
        <v>146.79976512037581</v>
      </c>
      <c r="H94" s="7">
        <v>100</v>
      </c>
      <c r="I94" s="10">
        <f t="shared" si="5"/>
        <v>1.467997651203758</v>
      </c>
      <c r="J94" s="11">
        <v>1.3109999999999999</v>
      </c>
      <c r="K94" s="10">
        <f t="shared" si="7"/>
        <v>1.9245449207281267</v>
      </c>
      <c r="L94" s="21">
        <v>16846.099999999999</v>
      </c>
      <c r="M94" s="17">
        <f t="shared" si="6"/>
        <v>3.2421076189078094E-2</v>
      </c>
      <c r="N94" s="8">
        <v>1.3300000000000001E-4</v>
      </c>
      <c r="O94" s="11">
        <v>3.17</v>
      </c>
      <c r="P94" s="7" t="s">
        <v>40</v>
      </c>
      <c r="Q94" s="11">
        <v>16.850000000000001</v>
      </c>
      <c r="R94" s="7">
        <v>20</v>
      </c>
      <c r="S94" s="7">
        <v>20</v>
      </c>
    </row>
    <row r="95" spans="1:19" x14ac:dyDescent="0.25">
      <c r="A95" s="5" t="s">
        <v>22</v>
      </c>
      <c r="B95" s="5" t="s">
        <v>9</v>
      </c>
      <c r="C95" s="7">
        <v>3</v>
      </c>
      <c r="D95" s="7" t="s">
        <v>55</v>
      </c>
      <c r="E95" s="16">
        <v>22982</v>
      </c>
      <c r="F95" s="16">
        <v>145676</v>
      </c>
      <c r="G95" s="11">
        <v>176.74089784376105</v>
      </c>
      <c r="H95" s="7">
        <v>100</v>
      </c>
      <c r="I95" s="10">
        <f t="shared" si="5"/>
        <v>1.7674089784376106</v>
      </c>
      <c r="J95" s="11">
        <v>0.1578</v>
      </c>
      <c r="K95" s="10">
        <f t="shared" si="7"/>
        <v>0.27889713679745493</v>
      </c>
      <c r="L95" s="21">
        <v>16846.099999999999</v>
      </c>
      <c r="M95" s="17">
        <f t="shared" si="6"/>
        <v>4.6983290562036054E-3</v>
      </c>
      <c r="N95" s="8">
        <v>6.6699999999999995E-5</v>
      </c>
      <c r="O95" s="11">
        <v>3.42</v>
      </c>
      <c r="P95" s="7" t="s">
        <v>40</v>
      </c>
      <c r="Q95" s="11">
        <v>16.87</v>
      </c>
      <c r="R95" s="7">
        <v>13</v>
      </c>
      <c r="S95" s="7">
        <v>13</v>
      </c>
    </row>
    <row r="96" spans="1:19" x14ac:dyDescent="0.25">
      <c r="A96" s="5" t="s">
        <v>22</v>
      </c>
      <c r="B96" s="5" t="s">
        <v>9</v>
      </c>
      <c r="C96" s="7">
        <v>3</v>
      </c>
      <c r="D96" s="7" t="s">
        <v>56</v>
      </c>
      <c r="E96" s="16">
        <v>22879</v>
      </c>
      <c r="F96" s="16">
        <v>43907</v>
      </c>
      <c r="G96" s="11">
        <v>181.22508155128671</v>
      </c>
      <c r="H96" s="7">
        <v>100</v>
      </c>
      <c r="I96" s="10">
        <f t="shared" si="5"/>
        <v>1.8122508155128672</v>
      </c>
      <c r="J96" s="11">
        <v>0.52110000000000001</v>
      </c>
      <c r="K96" s="10">
        <f t="shared" si="7"/>
        <v>0.94436389996375514</v>
      </c>
      <c r="L96" s="21">
        <v>16846.099999999999</v>
      </c>
      <c r="M96" s="17">
        <f t="shared" si="6"/>
        <v>1.5908848695179414E-2</v>
      </c>
      <c r="N96" s="8">
        <v>2.2699999999999999E-4</v>
      </c>
      <c r="O96" s="11">
        <v>2.97</v>
      </c>
      <c r="P96" s="7" t="s">
        <v>40</v>
      </c>
      <c r="Q96" s="11">
        <v>17.54</v>
      </c>
      <c r="R96" s="7">
        <v>18</v>
      </c>
      <c r="S96" s="7">
        <v>18</v>
      </c>
    </row>
    <row r="97" spans="1:19" x14ac:dyDescent="0.25">
      <c r="A97" s="5" t="s">
        <v>22</v>
      </c>
      <c r="B97" s="5" t="s">
        <v>9</v>
      </c>
      <c r="C97" s="7">
        <v>3</v>
      </c>
      <c r="D97" s="7" t="s">
        <v>57</v>
      </c>
      <c r="E97" s="16">
        <v>34799</v>
      </c>
      <c r="F97" s="16">
        <v>60984</v>
      </c>
      <c r="G97" s="11">
        <v>173.79214459506429</v>
      </c>
      <c r="H97" s="7">
        <v>100</v>
      </c>
      <c r="I97" s="10">
        <f t="shared" si="5"/>
        <v>1.7379214459506429</v>
      </c>
      <c r="J97" s="11">
        <v>0.5706</v>
      </c>
      <c r="K97" s="10">
        <f t="shared" si="7"/>
        <v>0.99165797705943681</v>
      </c>
      <c r="L97" s="21">
        <v>16846.099999999999</v>
      </c>
      <c r="M97" s="17">
        <f t="shared" si="6"/>
        <v>1.670556944734098E-2</v>
      </c>
      <c r="N97" s="8">
        <v>3.1100000000000002E-4</v>
      </c>
      <c r="O97" s="11">
        <v>2.86</v>
      </c>
      <c r="P97" s="7" t="s">
        <v>40</v>
      </c>
      <c r="Q97" s="11">
        <v>17.59</v>
      </c>
      <c r="R97" s="7">
        <v>14</v>
      </c>
      <c r="S97" s="7">
        <v>14</v>
      </c>
    </row>
    <row r="98" spans="1:19" x14ac:dyDescent="0.25">
      <c r="A98" s="5" t="s">
        <v>22</v>
      </c>
      <c r="B98" s="5" t="s">
        <v>4</v>
      </c>
      <c r="C98" s="7">
        <v>2</v>
      </c>
      <c r="D98" s="7" t="s">
        <v>54</v>
      </c>
      <c r="E98" s="16">
        <v>461479</v>
      </c>
      <c r="F98" s="16">
        <v>42112984</v>
      </c>
      <c r="G98" s="11">
        <v>146.79976512037581</v>
      </c>
      <c r="H98" s="7">
        <v>1</v>
      </c>
      <c r="I98" s="10">
        <f t="shared" si="5"/>
        <v>146.79976512037581</v>
      </c>
      <c r="J98" s="11">
        <v>1.0999999999999999E-2</v>
      </c>
      <c r="K98" s="10">
        <f t="shared" si="7"/>
        <v>1.6147974163241339</v>
      </c>
      <c r="L98" s="21">
        <v>16846.099999999999</v>
      </c>
      <c r="M98" s="17">
        <f t="shared" si="6"/>
        <v>2.7203038755137989E-2</v>
      </c>
      <c r="N98" s="8">
        <v>1.4800000000000001E-5</v>
      </c>
      <c r="O98" s="11">
        <v>3.96</v>
      </c>
      <c r="P98" s="7" t="s">
        <v>39</v>
      </c>
      <c r="Q98" s="11">
        <v>35.35</v>
      </c>
      <c r="R98" s="7">
        <v>78</v>
      </c>
      <c r="S98" s="7">
        <v>78</v>
      </c>
    </row>
    <row r="99" spans="1:19" x14ac:dyDescent="0.25">
      <c r="A99" s="5" t="s">
        <v>22</v>
      </c>
      <c r="B99" s="5" t="s">
        <v>4</v>
      </c>
      <c r="C99" s="7">
        <v>2</v>
      </c>
      <c r="D99" s="7" t="s">
        <v>55</v>
      </c>
      <c r="E99" s="16">
        <v>471273</v>
      </c>
      <c r="F99" s="16">
        <v>42719320</v>
      </c>
      <c r="G99" s="11">
        <v>176.74089784376105</v>
      </c>
      <c r="H99" s="7">
        <v>1</v>
      </c>
      <c r="I99" s="10">
        <f t="shared" si="5"/>
        <v>176.74089784376105</v>
      </c>
      <c r="J99" s="11">
        <v>1.0999999999999999E-2</v>
      </c>
      <c r="K99" s="10">
        <f t="shared" si="7"/>
        <v>1.9441498762813714</v>
      </c>
      <c r="L99" s="21">
        <v>16846.099999999999</v>
      </c>
      <c r="M99" s="17">
        <f t="shared" si="6"/>
        <v>3.2751343230823605E-2</v>
      </c>
      <c r="N99" s="8">
        <v>1.6399999999999999E-5</v>
      </c>
      <c r="O99" s="11">
        <v>3.93</v>
      </c>
      <c r="P99" s="7" t="s">
        <v>39</v>
      </c>
      <c r="Q99" s="11">
        <v>35.03</v>
      </c>
      <c r="R99" s="7">
        <v>50</v>
      </c>
      <c r="S99" s="9">
        <v>49</v>
      </c>
    </row>
    <row r="100" spans="1:19" x14ac:dyDescent="0.25">
      <c r="A100" s="5" t="s">
        <v>22</v>
      </c>
      <c r="B100" s="5" t="s">
        <v>4</v>
      </c>
      <c r="C100" s="7">
        <v>2</v>
      </c>
      <c r="D100" s="7" t="s">
        <v>56</v>
      </c>
      <c r="E100" s="16">
        <v>556600</v>
      </c>
      <c r="F100" s="16">
        <v>46004736</v>
      </c>
      <c r="G100" s="11">
        <v>181.22508155128671</v>
      </c>
      <c r="H100" s="7">
        <v>1</v>
      </c>
      <c r="I100" s="10">
        <f t="shared" si="5"/>
        <v>181.22508155128671</v>
      </c>
      <c r="J100" s="11">
        <v>1.21E-2</v>
      </c>
      <c r="K100" s="10">
        <f t="shared" si="7"/>
        <v>2.1928234867705689</v>
      </c>
      <c r="L100" s="21">
        <v>16846.099999999999</v>
      </c>
      <c r="M100" s="17">
        <f t="shared" si="6"/>
        <v>3.6940523740485683E-2</v>
      </c>
      <c r="N100" s="8">
        <v>1.3699999999999999E-5</v>
      </c>
      <c r="O100" s="11">
        <v>3.99</v>
      </c>
      <c r="P100" s="7" t="s">
        <v>39</v>
      </c>
      <c r="Q100" s="11">
        <v>35.090000000000003</v>
      </c>
      <c r="R100" s="7">
        <v>62</v>
      </c>
      <c r="S100" s="7">
        <v>62</v>
      </c>
    </row>
    <row r="101" spans="1:19" x14ac:dyDescent="0.25">
      <c r="A101" s="5" t="s">
        <v>22</v>
      </c>
      <c r="B101" s="5" t="s">
        <v>4</v>
      </c>
      <c r="C101" s="7">
        <v>2</v>
      </c>
      <c r="D101" s="7" t="s">
        <v>57</v>
      </c>
      <c r="E101" s="16">
        <v>520721</v>
      </c>
      <c r="F101" s="16">
        <v>44739176</v>
      </c>
      <c r="G101" s="11">
        <v>173.79214459506429</v>
      </c>
      <c r="H101" s="7">
        <v>1</v>
      </c>
      <c r="I101" s="10">
        <f t="shared" si="5"/>
        <v>173.79214459506429</v>
      </c>
      <c r="J101" s="11">
        <v>1.1599999999999999E-2</v>
      </c>
      <c r="K101" s="10">
        <f t="shared" si="7"/>
        <v>2.0159888773027457</v>
      </c>
      <c r="L101" s="21">
        <v>16846.099999999999</v>
      </c>
      <c r="M101" s="17">
        <f t="shared" si="6"/>
        <v>3.3961550225929782E-2</v>
      </c>
      <c r="N101" s="8">
        <v>1.6399999999999999E-5</v>
      </c>
      <c r="O101" s="11">
        <v>3.91</v>
      </c>
      <c r="P101" s="7" t="s">
        <v>39</v>
      </c>
      <c r="Q101" s="11">
        <v>35.409999999999997</v>
      </c>
      <c r="R101" s="7">
        <v>74</v>
      </c>
      <c r="S101" s="9">
        <v>75</v>
      </c>
    </row>
    <row r="102" spans="1:19" x14ac:dyDescent="0.25">
      <c r="A102" s="5" t="s">
        <v>22</v>
      </c>
      <c r="B102" s="5" t="s">
        <v>4</v>
      </c>
      <c r="C102" s="7">
        <v>2</v>
      </c>
      <c r="D102" s="7" t="s">
        <v>54</v>
      </c>
      <c r="E102" s="16">
        <v>594415</v>
      </c>
      <c r="F102" s="16">
        <v>4979033</v>
      </c>
      <c r="G102" s="11">
        <v>146.79976512037581</v>
      </c>
      <c r="H102" s="7">
        <v>10</v>
      </c>
      <c r="I102" s="10">
        <f t="shared" si="5"/>
        <v>14.67997651203758</v>
      </c>
      <c r="J102" s="11">
        <v>0.11940000000000001</v>
      </c>
      <c r="K102" s="10">
        <f t="shared" si="7"/>
        <v>1.7527891955372872</v>
      </c>
      <c r="L102" s="21">
        <v>16846.099999999999</v>
      </c>
      <c r="M102" s="17">
        <f t="shared" si="6"/>
        <v>2.9527662066940692E-2</v>
      </c>
      <c r="N102" s="8">
        <v>6.0900000000000003E-5</v>
      </c>
      <c r="O102" s="11">
        <v>3.46</v>
      </c>
      <c r="P102" s="7" t="s">
        <v>39</v>
      </c>
      <c r="Q102" s="11">
        <v>34.880000000000003</v>
      </c>
      <c r="R102" s="7">
        <v>32</v>
      </c>
      <c r="S102" s="9">
        <v>31</v>
      </c>
    </row>
    <row r="103" spans="1:19" x14ac:dyDescent="0.25">
      <c r="A103" s="5" t="s">
        <v>22</v>
      </c>
      <c r="B103" s="5" t="s">
        <v>4</v>
      </c>
      <c r="C103" s="7">
        <v>2</v>
      </c>
      <c r="D103" s="7" t="s">
        <v>55</v>
      </c>
      <c r="E103" s="16">
        <v>770718</v>
      </c>
      <c r="F103" s="16">
        <v>5690503</v>
      </c>
      <c r="G103" s="11">
        <v>176.74089784376105</v>
      </c>
      <c r="H103" s="7">
        <v>10</v>
      </c>
      <c r="I103" s="10">
        <f t="shared" si="5"/>
        <v>17.674089784376104</v>
      </c>
      <c r="J103" s="11">
        <v>0.13539999999999999</v>
      </c>
      <c r="K103" s="10">
        <f t="shared" si="7"/>
        <v>2.3930717568045243</v>
      </c>
      <c r="L103" s="21">
        <v>16846.099999999999</v>
      </c>
      <c r="M103" s="17">
        <f t="shared" si="6"/>
        <v>4.0313926122304694E-2</v>
      </c>
      <c r="N103" s="8">
        <v>6.6699999999999995E-5</v>
      </c>
      <c r="O103" s="11">
        <v>3.42</v>
      </c>
      <c r="P103" s="7" t="s">
        <v>39</v>
      </c>
      <c r="Q103" s="11">
        <v>34.72</v>
      </c>
      <c r="R103" s="7">
        <v>31</v>
      </c>
      <c r="S103" s="7">
        <v>31</v>
      </c>
    </row>
    <row r="104" spans="1:19" x14ac:dyDescent="0.25">
      <c r="A104" s="5" t="s">
        <v>22</v>
      </c>
      <c r="B104" s="5" t="s">
        <v>4</v>
      </c>
      <c r="C104" s="7">
        <v>2</v>
      </c>
      <c r="D104" s="7" t="s">
        <v>56</v>
      </c>
      <c r="E104" s="16">
        <v>755171</v>
      </c>
      <c r="F104" s="16">
        <v>6354814</v>
      </c>
      <c r="G104" s="11">
        <v>181.22508155128671</v>
      </c>
      <c r="H104" s="7">
        <v>10</v>
      </c>
      <c r="I104" s="10">
        <f t="shared" si="5"/>
        <v>18.122508155128671</v>
      </c>
      <c r="J104" s="11">
        <v>0.1188</v>
      </c>
      <c r="K104" s="10">
        <f t="shared" si="7"/>
        <v>2.1529539688292862</v>
      </c>
      <c r="L104" s="21">
        <v>16846.099999999999</v>
      </c>
      <c r="M104" s="17">
        <f t="shared" si="6"/>
        <v>3.6268877854295035E-2</v>
      </c>
      <c r="N104" s="8">
        <v>6.6099999999999994E-5</v>
      </c>
      <c r="O104" s="11">
        <v>3.43</v>
      </c>
      <c r="P104" s="7" t="s">
        <v>39</v>
      </c>
      <c r="Q104" s="11">
        <v>35.020000000000003</v>
      </c>
      <c r="R104" s="7">
        <v>47</v>
      </c>
      <c r="S104" s="9">
        <v>46</v>
      </c>
    </row>
    <row r="105" spans="1:19" x14ac:dyDescent="0.25">
      <c r="A105" s="5" t="s">
        <v>22</v>
      </c>
      <c r="B105" s="5" t="s">
        <v>4</v>
      </c>
      <c r="C105" s="7">
        <v>2</v>
      </c>
      <c r="D105" s="7" t="s">
        <v>57</v>
      </c>
      <c r="E105" s="16">
        <v>687646</v>
      </c>
      <c r="F105" s="16">
        <v>5856610</v>
      </c>
      <c r="G105" s="11">
        <v>173.79214459506429</v>
      </c>
      <c r="H105" s="7">
        <v>10</v>
      </c>
      <c r="I105" s="10">
        <f t="shared" si="5"/>
        <v>17.379214459506429</v>
      </c>
      <c r="J105" s="11">
        <v>0.1174</v>
      </c>
      <c r="K105" s="10">
        <f t="shared" si="7"/>
        <v>2.0403197775460549</v>
      </c>
      <c r="L105" s="21">
        <v>16846.099999999999</v>
      </c>
      <c r="M105" s="17">
        <f t="shared" si="6"/>
        <v>3.4371431004518595E-2</v>
      </c>
      <c r="N105" s="8">
        <v>7.0300000000000001E-5</v>
      </c>
      <c r="O105" s="11">
        <v>3.4</v>
      </c>
      <c r="P105" s="7" t="s">
        <v>39</v>
      </c>
      <c r="Q105" s="11">
        <v>35.03</v>
      </c>
      <c r="R105" s="7">
        <v>56</v>
      </c>
      <c r="S105" s="9">
        <v>55</v>
      </c>
    </row>
    <row r="106" spans="1:19" x14ac:dyDescent="0.25">
      <c r="A106" s="5" t="s">
        <v>22</v>
      </c>
      <c r="B106" s="5" t="s">
        <v>63</v>
      </c>
      <c r="C106" s="7">
        <v>2</v>
      </c>
      <c r="D106" s="7" t="s">
        <v>54</v>
      </c>
      <c r="E106" s="16">
        <v>508762</v>
      </c>
      <c r="F106" s="16">
        <v>334015</v>
      </c>
      <c r="G106" s="11">
        <v>146.79976512037581</v>
      </c>
      <c r="H106" s="7">
        <v>100</v>
      </c>
      <c r="I106" s="10">
        <f t="shared" si="5"/>
        <v>1.467997651203758</v>
      </c>
      <c r="J106" s="11">
        <v>1.5232000000000001</v>
      </c>
      <c r="K106" s="10">
        <f t="shared" si="7"/>
        <v>2.2360540223135645</v>
      </c>
      <c r="L106" s="21">
        <v>16846.099999999999</v>
      </c>
      <c r="M106" s="17">
        <f t="shared" si="6"/>
        <v>3.7668789665296534E-2</v>
      </c>
      <c r="N106" s="8">
        <v>4.5800000000000002E-4</v>
      </c>
      <c r="O106" s="11">
        <v>2.72</v>
      </c>
      <c r="P106" s="7" t="s">
        <v>39</v>
      </c>
      <c r="Q106" s="11">
        <v>35.020000000000003</v>
      </c>
      <c r="R106" s="7">
        <v>38</v>
      </c>
      <c r="S106" s="7">
        <v>38</v>
      </c>
    </row>
    <row r="107" spans="1:19" x14ac:dyDescent="0.25">
      <c r="A107" s="5" t="s">
        <v>22</v>
      </c>
      <c r="B107" s="5" t="s">
        <v>63</v>
      </c>
      <c r="C107" s="7">
        <v>2</v>
      </c>
      <c r="D107" s="7" t="s">
        <v>55</v>
      </c>
      <c r="E107" s="16">
        <v>731653</v>
      </c>
      <c r="F107" s="16">
        <v>474181</v>
      </c>
      <c r="G107" s="11">
        <v>176.74089784376105</v>
      </c>
      <c r="H107" s="7">
        <v>100</v>
      </c>
      <c r="I107" s="10">
        <f t="shared" si="5"/>
        <v>1.7674089784376106</v>
      </c>
      <c r="J107" s="11">
        <v>1.5429999999999999</v>
      </c>
      <c r="K107" s="10">
        <f t="shared" si="7"/>
        <v>2.727112053729233</v>
      </c>
      <c r="L107" s="21">
        <v>16846.099999999999</v>
      </c>
      <c r="M107" s="17">
        <f t="shared" si="6"/>
        <v>4.5941202368328028E-2</v>
      </c>
      <c r="N107" s="8">
        <v>3.1100000000000002E-4</v>
      </c>
      <c r="O107" s="11">
        <v>2.86</v>
      </c>
      <c r="P107" s="7" t="s">
        <v>39</v>
      </c>
      <c r="Q107" s="11">
        <v>34.83</v>
      </c>
      <c r="R107" s="7">
        <v>27</v>
      </c>
      <c r="S107" s="7">
        <v>27</v>
      </c>
    </row>
    <row r="108" spans="1:19" x14ac:dyDescent="0.25">
      <c r="A108" s="5" t="s">
        <v>22</v>
      </c>
      <c r="B108" s="5" t="s">
        <v>63</v>
      </c>
      <c r="C108" s="7">
        <v>2</v>
      </c>
      <c r="D108" s="7" t="s">
        <v>56</v>
      </c>
      <c r="E108" s="16">
        <v>736380</v>
      </c>
      <c r="F108" s="16">
        <v>566067</v>
      </c>
      <c r="G108" s="11">
        <v>181.22508155128671</v>
      </c>
      <c r="H108" s="7">
        <v>100</v>
      </c>
      <c r="I108" s="10">
        <f t="shared" si="5"/>
        <v>1.8122508155128672</v>
      </c>
      <c r="J108" s="11">
        <v>1.3008999999999999</v>
      </c>
      <c r="K108" s="10">
        <f t="shared" si="7"/>
        <v>2.3575570859006887</v>
      </c>
      <c r="L108" s="21">
        <v>16846.099999999999</v>
      </c>
      <c r="M108" s="17">
        <f t="shared" si="6"/>
        <v>3.9715642424791586E-2</v>
      </c>
      <c r="N108" s="8">
        <v>3.0600000000000001E-4</v>
      </c>
      <c r="O108" s="11">
        <v>2.87</v>
      </c>
      <c r="P108" s="7" t="s">
        <v>39</v>
      </c>
      <c r="Q108" s="11">
        <v>35.44</v>
      </c>
      <c r="R108" s="7">
        <v>71</v>
      </c>
      <c r="S108" s="7">
        <v>72</v>
      </c>
    </row>
    <row r="109" spans="1:19" x14ac:dyDescent="0.25">
      <c r="A109" s="5" t="s">
        <v>22</v>
      </c>
      <c r="B109" s="5" t="s">
        <v>63</v>
      </c>
      <c r="C109" s="7">
        <v>2</v>
      </c>
      <c r="D109" s="7" t="s">
        <v>57</v>
      </c>
      <c r="E109" s="16">
        <v>619980</v>
      </c>
      <c r="F109" s="16">
        <v>465993</v>
      </c>
      <c r="G109" s="11">
        <v>173.79214459506429</v>
      </c>
      <c r="H109" s="7">
        <v>100</v>
      </c>
      <c r="I109" s="10">
        <f t="shared" si="5"/>
        <v>1.7379214459506429</v>
      </c>
      <c r="J109" s="11">
        <v>1.3305</v>
      </c>
      <c r="K109" s="10">
        <f t="shared" si="7"/>
        <v>2.3123044838373303</v>
      </c>
      <c r="L109" s="21">
        <v>16846.099999999999</v>
      </c>
      <c r="M109" s="17">
        <f t="shared" si="6"/>
        <v>3.8953312565172045E-2</v>
      </c>
      <c r="N109" s="8">
        <v>3.4200000000000002E-4</v>
      </c>
      <c r="O109" s="11">
        <v>2.83</v>
      </c>
      <c r="P109" s="7" t="s">
        <v>39</v>
      </c>
      <c r="Q109" s="11">
        <v>35.04</v>
      </c>
      <c r="R109" s="7">
        <v>52</v>
      </c>
      <c r="S109" s="7">
        <v>51</v>
      </c>
    </row>
    <row r="110" spans="1:19" x14ac:dyDescent="0.25">
      <c r="A110" s="5" t="s">
        <v>22</v>
      </c>
      <c r="B110" s="5" t="s">
        <v>20</v>
      </c>
      <c r="C110" s="7">
        <v>3</v>
      </c>
      <c r="D110" s="7" t="s">
        <v>54</v>
      </c>
      <c r="E110" s="16">
        <v>3218596</v>
      </c>
      <c r="F110" s="16">
        <v>169248752</v>
      </c>
      <c r="G110" s="11">
        <v>146.79976512037581</v>
      </c>
      <c r="H110" s="7">
        <v>1</v>
      </c>
      <c r="I110" s="10">
        <f t="shared" si="5"/>
        <v>146.79976512037581</v>
      </c>
      <c r="J110" s="11">
        <v>1.9E-2</v>
      </c>
      <c r="K110" s="10">
        <f t="shared" si="7"/>
        <v>2.7891955372871404</v>
      </c>
      <c r="L110" s="21">
        <v>16846.099999999999</v>
      </c>
      <c r="M110" s="17">
        <f t="shared" si="6"/>
        <v>4.6987066940692893E-2</v>
      </c>
      <c r="N110" s="8">
        <v>4.8100000000000003E-7</v>
      </c>
      <c r="O110" s="11">
        <v>5.05</v>
      </c>
      <c r="P110" s="7" t="s">
        <v>39</v>
      </c>
      <c r="Q110" s="11">
        <v>17.89</v>
      </c>
      <c r="R110" s="7">
        <v>18</v>
      </c>
      <c r="S110" s="7">
        <v>18</v>
      </c>
    </row>
    <row r="111" spans="1:19" x14ac:dyDescent="0.25">
      <c r="A111" s="5" t="s">
        <v>22</v>
      </c>
      <c r="B111" s="5" t="s">
        <v>20</v>
      </c>
      <c r="C111" s="7">
        <v>3</v>
      </c>
      <c r="D111" s="7" t="s">
        <v>55</v>
      </c>
      <c r="E111" s="16">
        <v>3574646</v>
      </c>
      <c r="F111" s="16">
        <v>191847040</v>
      </c>
      <c r="G111" s="11">
        <v>176.74089784376105</v>
      </c>
      <c r="H111" s="7">
        <v>1</v>
      </c>
      <c r="I111" s="10">
        <f t="shared" si="5"/>
        <v>176.74089784376105</v>
      </c>
      <c r="J111" s="11">
        <v>1.8599999999999998E-2</v>
      </c>
      <c r="K111" s="10">
        <f t="shared" si="7"/>
        <v>3.2873806998939554</v>
      </c>
      <c r="L111" s="21">
        <v>16846.099999999999</v>
      </c>
      <c r="M111" s="17">
        <f t="shared" si="6"/>
        <v>5.5379544008483557E-2</v>
      </c>
      <c r="N111" s="8">
        <v>3.5300000000000001E-6</v>
      </c>
      <c r="O111" s="11">
        <v>4.41</v>
      </c>
      <c r="P111" s="7" t="s">
        <v>39</v>
      </c>
      <c r="Q111" s="11">
        <v>17.45</v>
      </c>
      <c r="R111" s="7">
        <v>19</v>
      </c>
      <c r="S111" s="7">
        <v>19</v>
      </c>
    </row>
    <row r="112" spans="1:19" x14ac:dyDescent="0.25">
      <c r="A112" s="5" t="s">
        <v>22</v>
      </c>
      <c r="B112" s="5" t="s">
        <v>20</v>
      </c>
      <c r="C112" s="7">
        <v>3</v>
      </c>
      <c r="D112" s="7" t="s">
        <v>56</v>
      </c>
      <c r="E112" s="16">
        <v>3235412</v>
      </c>
      <c r="F112" s="16">
        <v>169568288</v>
      </c>
      <c r="G112" s="11">
        <v>181.22508155128671</v>
      </c>
      <c r="H112" s="7">
        <v>1</v>
      </c>
      <c r="I112" s="10">
        <f t="shared" si="5"/>
        <v>181.22508155128671</v>
      </c>
      <c r="J112" s="11">
        <v>1.9099999999999999E-2</v>
      </c>
      <c r="K112" s="10">
        <f t="shared" si="7"/>
        <v>3.4613990576295759</v>
      </c>
      <c r="L112" s="21">
        <v>16846.099999999999</v>
      </c>
      <c r="M112" s="17">
        <f t="shared" si="6"/>
        <v>5.8311074664733592E-2</v>
      </c>
      <c r="N112" s="8">
        <v>2.0999999999999999E-5</v>
      </c>
      <c r="O112" s="11">
        <v>3.83</v>
      </c>
      <c r="P112" s="7" t="s">
        <v>39</v>
      </c>
      <c r="Q112" s="11">
        <v>17.84</v>
      </c>
      <c r="R112" s="7">
        <v>20</v>
      </c>
      <c r="S112" s="7">
        <v>20</v>
      </c>
    </row>
    <row r="113" spans="1:19" x14ac:dyDescent="0.25">
      <c r="A113" s="5" t="s">
        <v>22</v>
      </c>
      <c r="B113" s="5" t="s">
        <v>20</v>
      </c>
      <c r="C113" s="7">
        <v>3</v>
      </c>
      <c r="D113" s="7" t="s">
        <v>57</v>
      </c>
      <c r="E113" s="16">
        <v>2619123</v>
      </c>
      <c r="F113" s="16">
        <v>147305712</v>
      </c>
      <c r="G113" s="11">
        <v>173.79214459506429</v>
      </c>
      <c r="H113" s="7">
        <v>1</v>
      </c>
      <c r="I113" s="10">
        <f t="shared" si="5"/>
        <v>173.79214459506429</v>
      </c>
      <c r="J113" s="11">
        <v>1.78E-2</v>
      </c>
      <c r="K113" s="10">
        <f t="shared" si="7"/>
        <v>3.0935001737921444</v>
      </c>
      <c r="L113" s="21">
        <v>16846.099999999999</v>
      </c>
      <c r="M113" s="17">
        <f t="shared" si="6"/>
        <v>5.2113413277719838E-2</v>
      </c>
      <c r="N113" s="8">
        <v>4.8100000000000003E-7</v>
      </c>
      <c r="O113" s="11">
        <v>5.05</v>
      </c>
      <c r="P113" s="7" t="s">
        <v>39</v>
      </c>
      <c r="Q113" s="11">
        <v>17.97</v>
      </c>
      <c r="R113" s="7">
        <v>21</v>
      </c>
      <c r="S113" s="7">
        <v>20</v>
      </c>
    </row>
    <row r="114" spans="1:19" x14ac:dyDescent="0.25">
      <c r="A114" s="5" t="s">
        <v>22</v>
      </c>
      <c r="B114" s="5" t="s">
        <v>20</v>
      </c>
      <c r="C114" s="7">
        <v>3</v>
      </c>
      <c r="D114" s="7" t="s">
        <v>54</v>
      </c>
      <c r="E114" s="16">
        <v>2593541</v>
      </c>
      <c r="F114" s="16">
        <v>12114620</v>
      </c>
      <c r="G114" s="11">
        <v>146.79976512037581</v>
      </c>
      <c r="H114" s="7">
        <v>10</v>
      </c>
      <c r="I114" s="10">
        <f t="shared" si="5"/>
        <v>14.67997651203758</v>
      </c>
      <c r="J114" s="11">
        <v>0.21410000000000001</v>
      </c>
      <c r="K114" s="10">
        <f t="shared" si="7"/>
        <v>3.1429829712272461</v>
      </c>
      <c r="L114" s="21">
        <v>16846.099999999999</v>
      </c>
      <c r="M114" s="17">
        <f t="shared" si="6"/>
        <v>5.294700543159131E-2</v>
      </c>
      <c r="N114" s="8">
        <v>3.8700000000000002E-6</v>
      </c>
      <c r="O114" s="11">
        <v>4.37</v>
      </c>
      <c r="P114" s="7" t="s">
        <v>39</v>
      </c>
      <c r="Q114" s="11">
        <v>18.09</v>
      </c>
      <c r="R114" s="7">
        <v>18</v>
      </c>
      <c r="S114" s="7">
        <v>18</v>
      </c>
    </row>
    <row r="115" spans="1:19" x14ac:dyDescent="0.25">
      <c r="A115" s="5" t="s">
        <v>22</v>
      </c>
      <c r="B115" s="5" t="s">
        <v>20</v>
      </c>
      <c r="C115" s="7">
        <v>3</v>
      </c>
      <c r="D115" s="7" t="s">
        <v>55</v>
      </c>
      <c r="E115" s="16">
        <v>3997910</v>
      </c>
      <c r="F115" s="16">
        <v>16859634</v>
      </c>
      <c r="G115" s="11">
        <v>176.74089784376105</v>
      </c>
      <c r="H115" s="7">
        <v>10</v>
      </c>
      <c r="I115" s="10">
        <f t="shared" si="5"/>
        <v>17.674089784376104</v>
      </c>
      <c r="J115" s="11">
        <v>0.23710000000000001</v>
      </c>
      <c r="K115" s="10">
        <f t="shared" si="7"/>
        <v>4.1905266878755745</v>
      </c>
      <c r="L115" s="21">
        <v>16846.099999999999</v>
      </c>
      <c r="M115" s="17">
        <f t="shared" si="6"/>
        <v>7.0594031636620716E-2</v>
      </c>
      <c r="N115" s="8">
        <v>2.37E-5</v>
      </c>
      <c r="O115" s="11">
        <v>3.77</v>
      </c>
      <c r="P115" s="7" t="s">
        <v>39</v>
      </c>
      <c r="Q115" s="11">
        <v>17.82</v>
      </c>
      <c r="R115" s="7">
        <v>18</v>
      </c>
      <c r="S115" s="7">
        <v>18</v>
      </c>
    </row>
    <row r="116" spans="1:19" x14ac:dyDescent="0.25">
      <c r="A116" s="5" t="s">
        <v>22</v>
      </c>
      <c r="B116" s="5" t="s">
        <v>20</v>
      </c>
      <c r="C116" s="7">
        <v>3</v>
      </c>
      <c r="D116" s="7" t="s">
        <v>56</v>
      </c>
      <c r="E116" s="16">
        <v>3362918</v>
      </c>
      <c r="F116" s="16">
        <v>15792720</v>
      </c>
      <c r="G116" s="11">
        <v>181.22508155128671</v>
      </c>
      <c r="H116" s="7">
        <v>10</v>
      </c>
      <c r="I116" s="10">
        <f t="shared" si="5"/>
        <v>18.122508155128671</v>
      </c>
      <c r="J116" s="11">
        <v>0.21290000000000001</v>
      </c>
      <c r="K116" s="10">
        <f t="shared" si="7"/>
        <v>3.8582819862268942</v>
      </c>
      <c r="L116" s="21">
        <v>16846.099999999999</v>
      </c>
      <c r="M116" s="17">
        <f t="shared" si="6"/>
        <v>6.4997004168176872E-2</v>
      </c>
      <c r="N116" s="8">
        <v>4.8100000000000003E-7</v>
      </c>
      <c r="O116" s="11">
        <v>4.96</v>
      </c>
      <c r="P116" s="7" t="s">
        <v>39</v>
      </c>
      <c r="Q116" s="11">
        <v>18.32</v>
      </c>
      <c r="R116" s="7">
        <v>20</v>
      </c>
      <c r="S116" s="7">
        <v>20</v>
      </c>
    </row>
    <row r="117" spans="1:19" x14ac:dyDescent="0.25">
      <c r="A117" s="5" t="s">
        <v>22</v>
      </c>
      <c r="B117" s="5" t="s">
        <v>20</v>
      </c>
      <c r="C117" s="7">
        <v>3</v>
      </c>
      <c r="D117" s="7" t="s">
        <v>57</v>
      </c>
      <c r="E117" s="16">
        <v>3333908</v>
      </c>
      <c r="F117" s="16">
        <v>16393177</v>
      </c>
      <c r="G117" s="11">
        <v>173.79214459506429</v>
      </c>
      <c r="H117" s="7">
        <v>10</v>
      </c>
      <c r="I117" s="10">
        <f t="shared" si="5"/>
        <v>17.379214459506429</v>
      </c>
      <c r="J117" s="11">
        <v>0.2034</v>
      </c>
      <c r="K117" s="10">
        <f t="shared" si="7"/>
        <v>3.5349322210636074</v>
      </c>
      <c r="L117" s="21">
        <v>16846.099999999999</v>
      </c>
      <c r="M117" s="17">
        <f t="shared" si="6"/>
        <v>5.9549821689259631E-2</v>
      </c>
      <c r="N117" s="8">
        <v>3.8700000000000002E-6</v>
      </c>
      <c r="O117" s="11">
        <v>4.37</v>
      </c>
      <c r="P117" s="7" t="s">
        <v>39</v>
      </c>
      <c r="Q117" s="11">
        <v>18.190000000000001</v>
      </c>
      <c r="R117" s="7">
        <v>17</v>
      </c>
      <c r="S117" s="7">
        <v>17</v>
      </c>
    </row>
    <row r="118" spans="1:19" x14ac:dyDescent="0.25">
      <c r="A118" s="5" t="s">
        <v>22</v>
      </c>
      <c r="B118" s="5" t="s">
        <v>62</v>
      </c>
      <c r="C118" s="7">
        <v>3</v>
      </c>
      <c r="D118" s="7" t="s">
        <v>54</v>
      </c>
      <c r="E118" s="16">
        <v>2847083</v>
      </c>
      <c r="F118" s="16">
        <v>1248593</v>
      </c>
      <c r="G118" s="11">
        <v>146.79976512037581</v>
      </c>
      <c r="H118" s="7">
        <v>100</v>
      </c>
      <c r="I118" s="10">
        <f t="shared" si="5"/>
        <v>1.467997651203758</v>
      </c>
      <c r="J118" s="11">
        <v>2.2801999999999998</v>
      </c>
      <c r="K118" s="10">
        <f t="shared" ref="K118:K149" si="8">J118*I118</f>
        <v>3.3473282442748089</v>
      </c>
      <c r="L118" s="21">
        <v>16846.099999999999</v>
      </c>
      <c r="M118" s="17">
        <f t="shared" si="6"/>
        <v>5.6389426335877853E-2</v>
      </c>
      <c r="N118" s="8">
        <v>1.8199999999999999E-5</v>
      </c>
      <c r="O118" s="11">
        <v>3.88</v>
      </c>
      <c r="P118" s="7" t="s">
        <v>39</v>
      </c>
      <c r="Q118" s="11">
        <v>17.97</v>
      </c>
      <c r="R118" s="7">
        <v>14</v>
      </c>
      <c r="S118" s="7">
        <v>14</v>
      </c>
    </row>
    <row r="119" spans="1:19" x14ac:dyDescent="0.25">
      <c r="A119" s="5" t="s">
        <v>22</v>
      </c>
      <c r="B119" s="5" t="s">
        <v>62</v>
      </c>
      <c r="C119" s="7">
        <v>3</v>
      </c>
      <c r="D119" s="7" t="s">
        <v>55</v>
      </c>
      <c r="E119" s="16">
        <v>3334974</v>
      </c>
      <c r="F119" s="16">
        <v>1402049</v>
      </c>
      <c r="G119" s="11">
        <v>176.74089784376105</v>
      </c>
      <c r="H119" s="7">
        <v>100</v>
      </c>
      <c r="I119" s="10">
        <f t="shared" si="5"/>
        <v>1.7674089784376106</v>
      </c>
      <c r="J119" s="11">
        <v>2.3786</v>
      </c>
      <c r="K119" s="10">
        <f t="shared" si="8"/>
        <v>4.2039589961117008</v>
      </c>
      <c r="L119" s="21">
        <v>16846.099999999999</v>
      </c>
      <c r="M119" s="17">
        <f t="shared" si="6"/>
        <v>7.0820313644397323E-2</v>
      </c>
      <c r="N119" s="8">
        <v>4.8100000000000003E-7</v>
      </c>
      <c r="O119" s="11">
        <v>4.96</v>
      </c>
      <c r="P119" s="7" t="s">
        <v>39</v>
      </c>
      <c r="Q119" s="11">
        <v>18.2</v>
      </c>
      <c r="R119" s="7">
        <v>21</v>
      </c>
      <c r="S119" s="7">
        <v>21</v>
      </c>
    </row>
    <row r="120" spans="1:19" x14ac:dyDescent="0.25">
      <c r="A120" s="5" t="s">
        <v>22</v>
      </c>
      <c r="B120" s="5" t="s">
        <v>62</v>
      </c>
      <c r="C120" s="7">
        <v>3</v>
      </c>
      <c r="D120" s="7" t="s">
        <v>56</v>
      </c>
      <c r="E120" s="16">
        <v>3437369</v>
      </c>
      <c r="F120" s="16">
        <v>1539546</v>
      </c>
      <c r="G120" s="11">
        <v>181.22508155128671</v>
      </c>
      <c r="H120" s="7">
        <v>100</v>
      </c>
      <c r="I120" s="10">
        <f t="shared" si="5"/>
        <v>1.8122508155128672</v>
      </c>
      <c r="J120" s="11">
        <v>2.2326999999999999</v>
      </c>
      <c r="K120" s="10">
        <f t="shared" si="8"/>
        <v>4.0462123957955782</v>
      </c>
      <c r="L120" s="21">
        <v>16846.099999999999</v>
      </c>
      <c r="M120" s="17">
        <f t="shared" si="6"/>
        <v>6.8162898640811875E-2</v>
      </c>
      <c r="N120" s="8">
        <v>2.74E-6</v>
      </c>
      <c r="O120" s="11">
        <v>4.5</v>
      </c>
      <c r="P120" s="7" t="s">
        <v>39</v>
      </c>
      <c r="Q120" s="11">
        <v>18.760000000000002</v>
      </c>
      <c r="R120" s="7">
        <v>16</v>
      </c>
      <c r="S120" s="7">
        <v>16</v>
      </c>
    </row>
    <row r="121" spans="1:19" x14ac:dyDescent="0.25">
      <c r="A121" s="5" t="s">
        <v>22</v>
      </c>
      <c r="B121" s="5" t="s">
        <v>62</v>
      </c>
      <c r="C121" s="7">
        <v>3</v>
      </c>
      <c r="D121" s="7" t="s">
        <v>57</v>
      </c>
      <c r="E121" s="16">
        <v>3380385</v>
      </c>
      <c r="F121" s="16">
        <v>1569377</v>
      </c>
      <c r="G121" s="11">
        <v>173.79214459506429</v>
      </c>
      <c r="H121" s="7">
        <v>100</v>
      </c>
      <c r="I121" s="10">
        <f t="shared" si="5"/>
        <v>1.7379214459506429</v>
      </c>
      <c r="J121" s="11">
        <v>2.1539999999999999</v>
      </c>
      <c r="K121" s="10">
        <f t="shared" si="8"/>
        <v>3.7434827945776847</v>
      </c>
      <c r="L121" s="21">
        <v>16846.099999999999</v>
      </c>
      <c r="M121" s="17">
        <f t="shared" si="6"/>
        <v>6.3063085505735125E-2</v>
      </c>
      <c r="N121" s="8">
        <v>1.6399999999999999E-5</v>
      </c>
      <c r="O121" s="11">
        <v>3.91</v>
      </c>
      <c r="P121" s="7" t="s">
        <v>39</v>
      </c>
      <c r="Q121" s="11">
        <v>18.09</v>
      </c>
      <c r="R121" s="7">
        <v>20</v>
      </c>
      <c r="S121" s="7">
        <v>20</v>
      </c>
    </row>
    <row r="122" spans="1:19" x14ac:dyDescent="0.25">
      <c r="A122" s="5" t="s">
        <v>27</v>
      </c>
      <c r="B122" s="5" t="s">
        <v>1</v>
      </c>
      <c r="C122" s="7">
        <v>3</v>
      </c>
      <c r="D122" s="7" t="s">
        <v>54</v>
      </c>
      <c r="E122" s="16">
        <v>62394</v>
      </c>
      <c r="F122" s="16">
        <v>403934</v>
      </c>
      <c r="G122" s="11">
        <v>146.79976512037581</v>
      </c>
      <c r="H122" s="7">
        <v>1</v>
      </c>
      <c r="I122" s="10">
        <f t="shared" si="5"/>
        <v>146.79976512037581</v>
      </c>
      <c r="J122" s="11">
        <v>0.1545</v>
      </c>
      <c r="K122" s="10">
        <f t="shared" si="8"/>
        <v>22.680563711098063</v>
      </c>
      <c r="L122" s="21">
        <v>27365.49</v>
      </c>
      <c r="M122" s="17">
        <f t="shared" si="6"/>
        <v>0.620664739430417</v>
      </c>
      <c r="N122" s="8">
        <v>1.83E-4</v>
      </c>
      <c r="O122" s="11">
        <v>3.04</v>
      </c>
      <c r="P122" s="7" t="s">
        <v>40</v>
      </c>
      <c r="Q122" s="11">
        <v>18.71</v>
      </c>
      <c r="R122" s="7">
        <v>20</v>
      </c>
      <c r="S122" s="7">
        <v>20</v>
      </c>
    </row>
    <row r="123" spans="1:19" x14ac:dyDescent="0.25">
      <c r="A123" s="5" t="s">
        <v>27</v>
      </c>
      <c r="B123" s="5" t="s">
        <v>246</v>
      </c>
      <c r="C123" s="7">
        <v>3</v>
      </c>
      <c r="D123" s="7" t="s">
        <v>55</v>
      </c>
      <c r="E123" s="16">
        <v>238926</v>
      </c>
      <c r="F123" s="16">
        <v>2078848</v>
      </c>
      <c r="G123" s="11">
        <v>176.74089784376105</v>
      </c>
      <c r="H123" s="7">
        <v>1</v>
      </c>
      <c r="I123" s="10">
        <f t="shared" si="5"/>
        <v>176.74089784376105</v>
      </c>
      <c r="J123" s="11">
        <v>0.1149</v>
      </c>
      <c r="K123" s="10">
        <f t="shared" si="8"/>
        <v>20.307529162248144</v>
      </c>
      <c r="L123" s="21">
        <v>27365.49</v>
      </c>
      <c r="M123" s="17">
        <f t="shared" si="6"/>
        <v>0.55572548621421003</v>
      </c>
      <c r="N123" s="8">
        <v>6.2799999999999995E-5</v>
      </c>
      <c r="O123" s="11">
        <v>3.45</v>
      </c>
      <c r="P123" s="7" t="s">
        <v>39</v>
      </c>
      <c r="Q123" s="11">
        <v>15.39</v>
      </c>
      <c r="R123" s="7">
        <v>17</v>
      </c>
      <c r="S123" s="7">
        <v>17</v>
      </c>
    </row>
    <row r="124" spans="1:19" x14ac:dyDescent="0.25">
      <c r="A124" s="5" t="s">
        <v>27</v>
      </c>
      <c r="B124" s="5" t="s">
        <v>246</v>
      </c>
      <c r="C124" s="7">
        <v>3</v>
      </c>
      <c r="D124" s="7" t="s">
        <v>56</v>
      </c>
      <c r="E124" s="16">
        <v>106024</v>
      </c>
      <c r="F124" s="16">
        <v>906834</v>
      </c>
      <c r="G124" s="11">
        <v>181.22508155128671</v>
      </c>
      <c r="H124" s="7">
        <v>1</v>
      </c>
      <c r="I124" s="10">
        <f t="shared" si="5"/>
        <v>181.22508155128671</v>
      </c>
      <c r="J124" s="11">
        <v>0.1169</v>
      </c>
      <c r="K124" s="10">
        <f t="shared" si="8"/>
        <v>21.185212033345415</v>
      </c>
      <c r="L124" s="21">
        <v>27365.49</v>
      </c>
      <c r="M124" s="17">
        <f t="shared" si="6"/>
        <v>0.57974370804639375</v>
      </c>
      <c r="N124" s="8">
        <v>1.18E-4</v>
      </c>
      <c r="O124" s="11">
        <v>3.22</v>
      </c>
      <c r="P124" s="7" t="s">
        <v>39</v>
      </c>
      <c r="Q124" s="11">
        <v>15.84</v>
      </c>
      <c r="R124" s="7">
        <v>17</v>
      </c>
      <c r="S124" s="7">
        <v>17</v>
      </c>
    </row>
    <row r="125" spans="1:19" x14ac:dyDescent="0.25">
      <c r="A125" s="5" t="s">
        <v>27</v>
      </c>
      <c r="B125" s="5" t="s">
        <v>246</v>
      </c>
      <c r="C125" s="7">
        <v>3</v>
      </c>
      <c r="D125" s="7" t="s">
        <v>57</v>
      </c>
      <c r="E125" s="16">
        <v>170998</v>
      </c>
      <c r="F125" s="16">
        <v>1444392</v>
      </c>
      <c r="G125" s="11">
        <v>173.79214459506429</v>
      </c>
      <c r="H125" s="7">
        <v>1</v>
      </c>
      <c r="I125" s="10">
        <f t="shared" si="5"/>
        <v>173.79214459506429</v>
      </c>
      <c r="J125" s="11">
        <v>0.11840000000000001</v>
      </c>
      <c r="K125" s="10">
        <f t="shared" si="8"/>
        <v>20.576989920055613</v>
      </c>
      <c r="L125" s="21">
        <v>27365.49</v>
      </c>
      <c r="M125" s="17">
        <f t="shared" si="6"/>
        <v>0.56309941188738277</v>
      </c>
      <c r="N125" s="8">
        <v>5.2899999999999998E-5</v>
      </c>
      <c r="O125" s="11">
        <v>3.52</v>
      </c>
      <c r="P125" s="7" t="s">
        <v>39</v>
      </c>
      <c r="Q125" s="11">
        <v>16.27</v>
      </c>
      <c r="R125" s="7">
        <v>17</v>
      </c>
      <c r="S125" s="7">
        <v>17</v>
      </c>
    </row>
    <row r="126" spans="1:19" x14ac:dyDescent="0.25">
      <c r="A126" s="5" t="s">
        <v>27</v>
      </c>
      <c r="B126" s="5" t="s">
        <v>1</v>
      </c>
      <c r="C126" s="7">
        <v>3</v>
      </c>
      <c r="D126" s="7" t="s">
        <v>54</v>
      </c>
      <c r="E126" s="16">
        <v>262059</v>
      </c>
      <c r="F126" s="16">
        <v>228452</v>
      </c>
      <c r="G126" s="11">
        <v>146.79976512037581</v>
      </c>
      <c r="H126" s="7">
        <v>10</v>
      </c>
      <c r="I126" s="10">
        <f t="shared" si="5"/>
        <v>14.67997651203758</v>
      </c>
      <c r="J126" s="11">
        <v>1.1471</v>
      </c>
      <c r="K126" s="10">
        <f t="shared" si="8"/>
        <v>16.839401056958309</v>
      </c>
      <c r="L126" s="21">
        <v>27365.49</v>
      </c>
      <c r="M126" s="17">
        <f t="shared" si="6"/>
        <v>0.46081846123018205</v>
      </c>
      <c r="N126" s="8">
        <v>9.6100000000000005E-5</v>
      </c>
      <c r="O126" s="11">
        <v>3.3</v>
      </c>
      <c r="P126" s="7" t="s">
        <v>39</v>
      </c>
      <c r="Q126" s="11">
        <v>16.170000000000002</v>
      </c>
      <c r="R126" s="7">
        <v>12</v>
      </c>
      <c r="S126" s="7">
        <v>12</v>
      </c>
    </row>
    <row r="127" spans="1:19" x14ac:dyDescent="0.25">
      <c r="A127" s="5" t="s">
        <v>27</v>
      </c>
      <c r="B127" s="5" t="s">
        <v>1</v>
      </c>
      <c r="C127" s="7">
        <v>3</v>
      </c>
      <c r="D127" s="7" t="s">
        <v>55</v>
      </c>
      <c r="E127" s="16">
        <v>104274</v>
      </c>
      <c r="F127" s="16">
        <v>93514</v>
      </c>
      <c r="G127" s="11">
        <v>176.74089784376105</v>
      </c>
      <c r="H127" s="7">
        <v>10</v>
      </c>
      <c r="I127" s="10">
        <f t="shared" si="5"/>
        <v>17.674089784376104</v>
      </c>
      <c r="J127" s="11">
        <v>1.1151</v>
      </c>
      <c r="K127" s="10">
        <f t="shared" si="8"/>
        <v>19.708377518557793</v>
      </c>
      <c r="L127" s="21">
        <v>27365.49</v>
      </c>
      <c r="M127" s="17">
        <f t="shared" si="6"/>
        <v>0.53932940790031814</v>
      </c>
      <c r="N127" s="8">
        <v>9.1199999999999994E-5</v>
      </c>
      <c r="O127" s="11">
        <v>3.31</v>
      </c>
      <c r="P127" s="7" t="s">
        <v>40</v>
      </c>
      <c r="Q127" s="11">
        <v>18.38</v>
      </c>
      <c r="R127" s="7">
        <v>28</v>
      </c>
      <c r="S127" s="7">
        <v>28</v>
      </c>
    </row>
    <row r="128" spans="1:19" x14ac:dyDescent="0.25">
      <c r="A128" s="5" t="s">
        <v>27</v>
      </c>
      <c r="B128" s="5" t="s">
        <v>1</v>
      </c>
      <c r="C128" s="7">
        <v>3</v>
      </c>
      <c r="D128" s="7" t="s">
        <v>56</v>
      </c>
      <c r="E128" s="16">
        <v>88723</v>
      </c>
      <c r="F128" s="16">
        <v>52479</v>
      </c>
      <c r="G128" s="11">
        <v>181.22508155128671</v>
      </c>
      <c r="H128" s="7">
        <v>10</v>
      </c>
      <c r="I128" s="10">
        <f t="shared" si="5"/>
        <v>18.122508155128671</v>
      </c>
      <c r="J128" s="11">
        <v>1.6906000000000001</v>
      </c>
      <c r="K128" s="10">
        <f t="shared" si="8"/>
        <v>30.637912287060534</v>
      </c>
      <c r="L128" s="21">
        <v>27365.49</v>
      </c>
      <c r="M128" s="17">
        <f t="shared" si="6"/>
        <v>0.8384214823124323</v>
      </c>
      <c r="N128" s="8">
        <v>8.8399999999999994E-5</v>
      </c>
      <c r="O128" s="11">
        <v>3.32</v>
      </c>
      <c r="P128" s="7" t="s">
        <v>40</v>
      </c>
      <c r="Q128" s="11">
        <v>18.829999999999998</v>
      </c>
      <c r="R128" s="7">
        <v>26</v>
      </c>
      <c r="S128" s="7">
        <v>26</v>
      </c>
    </row>
    <row r="129" spans="1:19" x14ac:dyDescent="0.25">
      <c r="A129" s="5" t="s">
        <v>27</v>
      </c>
      <c r="B129" s="5" t="s">
        <v>1</v>
      </c>
      <c r="C129" s="7">
        <v>3</v>
      </c>
      <c r="D129" s="7" t="s">
        <v>57</v>
      </c>
      <c r="E129" s="16">
        <v>440674</v>
      </c>
      <c r="F129" s="16">
        <v>373293</v>
      </c>
      <c r="G129" s="11">
        <v>173.79214459506429</v>
      </c>
      <c r="H129" s="7">
        <v>10</v>
      </c>
      <c r="I129" s="10">
        <f t="shared" si="5"/>
        <v>17.379214459506429</v>
      </c>
      <c r="J129" s="11">
        <v>1.1805000000000001</v>
      </c>
      <c r="K129" s="10">
        <f t="shared" si="8"/>
        <v>20.51616266944734</v>
      </c>
      <c r="L129" s="21">
        <v>27365.49</v>
      </c>
      <c r="M129" s="17">
        <f t="shared" si="6"/>
        <v>0.56143484436913449</v>
      </c>
      <c r="N129" s="8">
        <v>6.7700000000000006E-5</v>
      </c>
      <c r="O129" s="11">
        <v>3.41</v>
      </c>
      <c r="P129" s="7" t="s">
        <v>39</v>
      </c>
      <c r="Q129" s="11">
        <v>16.09</v>
      </c>
      <c r="R129" s="7">
        <v>23</v>
      </c>
      <c r="S129" s="7">
        <v>23</v>
      </c>
    </row>
    <row r="130" spans="1:19" x14ac:dyDescent="0.25">
      <c r="A130" s="5" t="s">
        <v>27</v>
      </c>
      <c r="B130" s="5" t="s">
        <v>1</v>
      </c>
      <c r="C130" s="7">
        <v>3</v>
      </c>
      <c r="D130" s="7" t="s">
        <v>54</v>
      </c>
      <c r="E130" s="16">
        <v>92793</v>
      </c>
      <c r="F130" s="16">
        <v>8707</v>
      </c>
      <c r="G130" s="11">
        <v>146.79976512037581</v>
      </c>
      <c r="H130" s="7">
        <v>100</v>
      </c>
      <c r="I130" s="10">
        <f t="shared" ref="I130:I193" si="9">G130/H130</f>
        <v>1.467997651203758</v>
      </c>
      <c r="J130" s="11">
        <v>10.6571</v>
      </c>
      <c r="K130" s="10">
        <f t="shared" si="8"/>
        <v>15.644597768643569</v>
      </c>
      <c r="L130" s="21">
        <v>27365.49</v>
      </c>
      <c r="M130" s="17">
        <f t="shared" ref="M130:M193" si="10">L130*K130/1000000</f>
        <v>0.42812208379183792</v>
      </c>
      <c r="N130" s="8">
        <v>8.8999999999999995E-4</v>
      </c>
      <c r="O130" s="11">
        <v>2.42</v>
      </c>
      <c r="P130" s="7" t="s">
        <v>40</v>
      </c>
      <c r="Q130" s="11">
        <v>18.829999999999998</v>
      </c>
      <c r="R130" s="7">
        <v>24</v>
      </c>
      <c r="S130" s="7">
        <v>24</v>
      </c>
    </row>
    <row r="131" spans="1:19" x14ac:dyDescent="0.25">
      <c r="A131" s="5" t="s">
        <v>27</v>
      </c>
      <c r="B131" s="5" t="s">
        <v>1</v>
      </c>
      <c r="C131" s="7">
        <v>3</v>
      </c>
      <c r="D131" s="7" t="s">
        <v>55</v>
      </c>
      <c r="E131" s="16">
        <v>108082</v>
      </c>
      <c r="F131" s="16">
        <v>15975</v>
      </c>
      <c r="G131" s="11">
        <v>176.74089784376105</v>
      </c>
      <c r="H131" s="7">
        <v>100</v>
      </c>
      <c r="I131" s="10">
        <f t="shared" si="9"/>
        <v>1.7674089784376106</v>
      </c>
      <c r="J131" s="11">
        <v>6.7655000000000003</v>
      </c>
      <c r="K131" s="10">
        <f t="shared" si="8"/>
        <v>11.957405443619654</v>
      </c>
      <c r="L131" s="21">
        <v>27365.49</v>
      </c>
      <c r="M131" s="17">
        <f t="shared" si="10"/>
        <v>0.32722025909331925</v>
      </c>
      <c r="N131" s="8">
        <v>1.4899999999999999E-4</v>
      </c>
      <c r="O131" s="11">
        <v>3.11</v>
      </c>
      <c r="P131" s="7" t="s">
        <v>40</v>
      </c>
      <c r="Q131" s="11">
        <v>18.66</v>
      </c>
      <c r="R131" s="7">
        <v>20</v>
      </c>
      <c r="S131" s="7">
        <v>20</v>
      </c>
    </row>
    <row r="132" spans="1:19" x14ac:dyDescent="0.25">
      <c r="A132" s="5" t="s">
        <v>27</v>
      </c>
      <c r="B132" s="5" t="s">
        <v>1</v>
      </c>
      <c r="C132" s="7">
        <v>3</v>
      </c>
      <c r="D132" s="7" t="s">
        <v>56</v>
      </c>
      <c r="E132" s="16">
        <v>53435</v>
      </c>
      <c r="F132" s="16">
        <v>11789</v>
      </c>
      <c r="G132" s="11">
        <v>181.22508155128671</v>
      </c>
      <c r="H132" s="7">
        <v>100</v>
      </c>
      <c r="I132" s="10">
        <f t="shared" si="9"/>
        <v>1.8122508155128672</v>
      </c>
      <c r="J132" s="11">
        <v>4.5326000000000004</v>
      </c>
      <c r="K132" s="10">
        <f t="shared" si="8"/>
        <v>8.2142080463936225</v>
      </c>
      <c r="L132" s="21">
        <v>27365.49</v>
      </c>
      <c r="M132" s="17">
        <f t="shared" si="10"/>
        <v>0.22478582815150422</v>
      </c>
      <c r="N132" s="8">
        <v>1.2799999999999999E-4</v>
      </c>
      <c r="O132" s="11">
        <v>3.18</v>
      </c>
      <c r="P132" s="7" t="s">
        <v>40</v>
      </c>
      <c r="Q132" s="11">
        <v>19.260000000000002</v>
      </c>
      <c r="R132" s="7">
        <v>27</v>
      </c>
      <c r="S132" s="7">
        <v>27</v>
      </c>
    </row>
    <row r="133" spans="1:19" x14ac:dyDescent="0.25">
      <c r="A133" s="5" t="s">
        <v>27</v>
      </c>
      <c r="B133" s="5" t="s">
        <v>1</v>
      </c>
      <c r="C133" s="7">
        <v>3</v>
      </c>
      <c r="D133" s="7" t="s">
        <v>57</v>
      </c>
      <c r="E133" s="16">
        <v>336099</v>
      </c>
      <c r="F133" s="16">
        <v>44819</v>
      </c>
      <c r="G133" s="11">
        <v>173.79214459506429</v>
      </c>
      <c r="H133" s="7">
        <v>100</v>
      </c>
      <c r="I133" s="10">
        <f t="shared" si="9"/>
        <v>1.7379214459506429</v>
      </c>
      <c r="J133" s="11">
        <v>7.4991000000000003</v>
      </c>
      <c r="K133" s="10">
        <f t="shared" si="8"/>
        <v>13.032846715328466</v>
      </c>
      <c r="L133" s="21">
        <v>27365.49</v>
      </c>
      <c r="M133" s="17">
        <f t="shared" si="10"/>
        <v>0.356650236459854</v>
      </c>
      <c r="N133" s="8">
        <v>2.5099999999999998E-4</v>
      </c>
      <c r="O133" s="11">
        <v>2.94</v>
      </c>
      <c r="P133" s="7" t="s">
        <v>39</v>
      </c>
      <c r="Q133" s="11">
        <v>16.399999999999999</v>
      </c>
      <c r="R133" s="7">
        <v>21</v>
      </c>
      <c r="S133" s="7">
        <v>21</v>
      </c>
    </row>
    <row r="134" spans="1:19" x14ac:dyDescent="0.25">
      <c r="A134" s="5" t="s">
        <v>27</v>
      </c>
      <c r="B134" s="5" t="s">
        <v>16</v>
      </c>
      <c r="C134" s="7">
        <v>3</v>
      </c>
      <c r="D134" s="7" t="s">
        <v>54</v>
      </c>
      <c r="E134" s="16">
        <v>9452612</v>
      </c>
      <c r="F134" s="16">
        <v>158015632</v>
      </c>
      <c r="G134" s="11">
        <v>146.79976512037581</v>
      </c>
      <c r="H134" s="7">
        <v>1</v>
      </c>
      <c r="I134" s="10">
        <f t="shared" si="9"/>
        <v>146.79976512037581</v>
      </c>
      <c r="J134" s="11">
        <v>5.9799999999999999E-2</v>
      </c>
      <c r="K134" s="10">
        <f t="shared" si="8"/>
        <v>8.778625954198473</v>
      </c>
      <c r="L134" s="21">
        <v>27365.49</v>
      </c>
      <c r="M134" s="17">
        <f t="shared" si="10"/>
        <v>0.24023140076335878</v>
      </c>
      <c r="N134" s="8">
        <v>5.17E-8</v>
      </c>
      <c r="O134" s="11">
        <v>5.72</v>
      </c>
      <c r="P134" s="7" t="s">
        <v>39</v>
      </c>
      <c r="Q134" s="11">
        <v>41.29</v>
      </c>
      <c r="R134" s="7">
        <v>26</v>
      </c>
      <c r="S134" s="7">
        <v>26</v>
      </c>
    </row>
    <row r="135" spans="1:19" x14ac:dyDescent="0.25">
      <c r="A135" s="5" t="s">
        <v>27</v>
      </c>
      <c r="B135" s="5" t="s">
        <v>16</v>
      </c>
      <c r="C135" s="7">
        <v>3</v>
      </c>
      <c r="D135" s="7" t="s">
        <v>55</v>
      </c>
      <c r="E135" s="16">
        <v>10695668</v>
      </c>
      <c r="F135" s="16">
        <v>171970832</v>
      </c>
      <c r="G135" s="11">
        <v>176.74089784376105</v>
      </c>
      <c r="H135" s="7">
        <v>1</v>
      </c>
      <c r="I135" s="10">
        <f t="shared" si="9"/>
        <v>176.74089784376105</v>
      </c>
      <c r="J135" s="11">
        <v>6.2199999999999998E-2</v>
      </c>
      <c r="K135" s="10">
        <f t="shared" si="8"/>
        <v>10.993283845881937</v>
      </c>
      <c r="L135" s="21">
        <v>27365.49</v>
      </c>
      <c r="M135" s="17">
        <f t="shared" si="10"/>
        <v>0.30083659915164368</v>
      </c>
      <c r="N135" s="8">
        <v>7.1499999999999998E-8</v>
      </c>
      <c r="O135" s="11">
        <v>5.61</v>
      </c>
      <c r="P135" s="7" t="s">
        <v>39</v>
      </c>
      <c r="Q135" s="11">
        <v>41.01</v>
      </c>
      <c r="R135" s="7">
        <v>26</v>
      </c>
      <c r="S135" s="7">
        <v>26</v>
      </c>
    </row>
    <row r="136" spans="1:19" x14ac:dyDescent="0.25">
      <c r="A136" s="5" t="s">
        <v>27</v>
      </c>
      <c r="B136" s="5" t="s">
        <v>16</v>
      </c>
      <c r="C136" s="7">
        <v>3</v>
      </c>
      <c r="D136" s="7" t="s">
        <v>56</v>
      </c>
      <c r="E136" s="16">
        <v>11073201</v>
      </c>
      <c r="F136" s="16">
        <v>179913056</v>
      </c>
      <c r="G136" s="11">
        <v>181.22508155128671</v>
      </c>
      <c r="H136" s="7">
        <v>1</v>
      </c>
      <c r="I136" s="10">
        <f t="shared" si="9"/>
        <v>181.22508155128671</v>
      </c>
      <c r="J136" s="11">
        <v>6.1499999999999999E-2</v>
      </c>
      <c r="K136" s="10">
        <f t="shared" si="8"/>
        <v>11.145342515404133</v>
      </c>
      <c r="L136" s="21">
        <v>27365.49</v>
      </c>
      <c r="M136" s="17">
        <f t="shared" si="10"/>
        <v>0.30499775915186667</v>
      </c>
      <c r="N136" s="8">
        <v>5.17E-8</v>
      </c>
      <c r="O136" s="11">
        <v>5.77</v>
      </c>
      <c r="P136" s="7" t="s">
        <v>39</v>
      </c>
      <c r="Q136" s="11">
        <v>41.41</v>
      </c>
      <c r="R136" s="7">
        <v>26</v>
      </c>
      <c r="S136" s="7">
        <v>26</v>
      </c>
    </row>
    <row r="137" spans="1:19" x14ac:dyDescent="0.25">
      <c r="A137" s="5" t="s">
        <v>27</v>
      </c>
      <c r="B137" s="5" t="s">
        <v>16</v>
      </c>
      <c r="C137" s="7">
        <v>3</v>
      </c>
      <c r="D137" s="7" t="s">
        <v>57</v>
      </c>
      <c r="E137" s="16">
        <v>10716346</v>
      </c>
      <c r="F137" s="16">
        <v>177440016</v>
      </c>
      <c r="G137" s="11">
        <v>173.79214459506429</v>
      </c>
      <c r="H137" s="7">
        <v>1</v>
      </c>
      <c r="I137" s="10">
        <f t="shared" si="9"/>
        <v>173.79214459506429</v>
      </c>
      <c r="J137" s="11">
        <v>6.0400000000000002E-2</v>
      </c>
      <c r="K137" s="10">
        <f t="shared" si="8"/>
        <v>10.497045533541883</v>
      </c>
      <c r="L137" s="21">
        <v>27365.49</v>
      </c>
      <c r="M137" s="17">
        <f t="shared" si="10"/>
        <v>0.28725679457768505</v>
      </c>
      <c r="N137" s="8">
        <v>5.17E-8</v>
      </c>
      <c r="O137" s="11">
        <v>5.77</v>
      </c>
      <c r="P137" s="7" t="s">
        <v>39</v>
      </c>
      <c r="Q137" s="11">
        <v>41.36</v>
      </c>
      <c r="R137" s="7">
        <v>26</v>
      </c>
      <c r="S137" s="7">
        <v>26</v>
      </c>
    </row>
    <row r="138" spans="1:19" x14ac:dyDescent="0.25">
      <c r="A138" s="5" t="s">
        <v>27</v>
      </c>
      <c r="B138" s="5" t="s">
        <v>61</v>
      </c>
      <c r="C138" s="7">
        <v>3</v>
      </c>
      <c r="D138" s="7" t="s">
        <v>54</v>
      </c>
      <c r="E138" s="16">
        <v>12517038</v>
      </c>
      <c r="F138" s="16">
        <v>15926958</v>
      </c>
      <c r="G138" s="11">
        <v>146.79976512037581</v>
      </c>
      <c r="H138" s="7">
        <v>10</v>
      </c>
      <c r="I138" s="10">
        <f t="shared" si="9"/>
        <v>14.67997651203758</v>
      </c>
      <c r="J138" s="11">
        <v>0.78590000000000004</v>
      </c>
      <c r="K138" s="10">
        <f t="shared" si="8"/>
        <v>11.536993540810334</v>
      </c>
      <c r="L138" s="21">
        <v>27365.49</v>
      </c>
      <c r="M138" s="17">
        <f t="shared" si="10"/>
        <v>0.31571548137110977</v>
      </c>
      <c r="N138" s="8">
        <v>4.8100000000000003E-7</v>
      </c>
      <c r="O138" s="11">
        <v>4.99</v>
      </c>
      <c r="P138" s="7" t="s">
        <v>39</v>
      </c>
      <c r="Q138" s="11">
        <v>41.57</v>
      </c>
      <c r="R138" s="7">
        <v>27</v>
      </c>
      <c r="S138" s="7">
        <v>27</v>
      </c>
    </row>
    <row r="139" spans="1:19" x14ac:dyDescent="0.25">
      <c r="A139" s="5" t="s">
        <v>27</v>
      </c>
      <c r="B139" s="5" t="s">
        <v>61</v>
      </c>
      <c r="C139" s="7">
        <v>3</v>
      </c>
      <c r="D139" s="7" t="s">
        <v>55</v>
      </c>
      <c r="E139" s="16">
        <v>20025104</v>
      </c>
      <c r="F139" s="16">
        <v>20278346</v>
      </c>
      <c r="G139" s="11">
        <v>176.74089784376105</v>
      </c>
      <c r="H139" s="7">
        <v>10</v>
      </c>
      <c r="I139" s="10">
        <f t="shared" si="9"/>
        <v>17.674089784376104</v>
      </c>
      <c r="J139" s="11">
        <v>0.98750000000000004</v>
      </c>
      <c r="K139" s="10">
        <f t="shared" si="8"/>
        <v>17.453163662071404</v>
      </c>
      <c r="L139" s="21">
        <v>27365.49</v>
      </c>
      <c r="M139" s="17">
        <f t="shared" si="10"/>
        <v>0.47761437566277837</v>
      </c>
      <c r="N139" s="8">
        <v>4.8100000000000003E-7</v>
      </c>
      <c r="O139" s="11">
        <v>5.0999999999999996</v>
      </c>
      <c r="P139" s="7" t="s">
        <v>39</v>
      </c>
      <c r="Q139" s="11">
        <v>41.44</v>
      </c>
      <c r="R139" s="7">
        <v>27</v>
      </c>
      <c r="S139" s="7">
        <v>27</v>
      </c>
    </row>
    <row r="140" spans="1:19" x14ac:dyDescent="0.25">
      <c r="A140" s="5" t="s">
        <v>27</v>
      </c>
      <c r="B140" s="5" t="s">
        <v>61</v>
      </c>
      <c r="C140" s="7">
        <v>3</v>
      </c>
      <c r="D140" s="7" t="s">
        <v>56</v>
      </c>
      <c r="E140" s="16">
        <v>18832172</v>
      </c>
      <c r="F140" s="16">
        <v>22998584</v>
      </c>
      <c r="G140" s="11">
        <v>181.22508155128671</v>
      </c>
      <c r="H140" s="7">
        <v>10</v>
      </c>
      <c r="I140" s="10">
        <f t="shared" si="9"/>
        <v>18.122508155128671</v>
      </c>
      <c r="J140" s="11">
        <v>0.81879999999999997</v>
      </c>
      <c r="K140" s="10">
        <f t="shared" si="8"/>
        <v>14.838709677419356</v>
      </c>
      <c r="L140" s="21">
        <v>27365.49</v>
      </c>
      <c r="M140" s="17">
        <f t="shared" si="10"/>
        <v>0.40606856129032265</v>
      </c>
      <c r="N140" s="8">
        <v>4.8100000000000003E-7</v>
      </c>
      <c r="O140" s="11">
        <v>5.12</v>
      </c>
      <c r="P140" s="7" t="s">
        <v>39</v>
      </c>
      <c r="Q140" s="11">
        <v>41.95</v>
      </c>
      <c r="R140" s="7">
        <v>29</v>
      </c>
      <c r="S140" s="7">
        <v>29</v>
      </c>
    </row>
    <row r="141" spans="1:19" x14ac:dyDescent="0.25">
      <c r="A141" s="5" t="s">
        <v>27</v>
      </c>
      <c r="B141" s="5" t="s">
        <v>61</v>
      </c>
      <c r="C141" s="7">
        <v>3</v>
      </c>
      <c r="D141" s="7" t="s">
        <v>57</v>
      </c>
      <c r="E141" s="16">
        <v>16695919</v>
      </c>
      <c r="F141" s="16">
        <v>19388262</v>
      </c>
      <c r="G141" s="11">
        <v>173.79214459506429</v>
      </c>
      <c r="H141" s="7">
        <v>10</v>
      </c>
      <c r="I141" s="10">
        <f t="shared" si="9"/>
        <v>17.379214459506429</v>
      </c>
      <c r="J141" s="11">
        <v>0.86109999999999998</v>
      </c>
      <c r="K141" s="10">
        <f t="shared" si="8"/>
        <v>14.965241571080986</v>
      </c>
      <c r="L141" s="21">
        <v>27365.49</v>
      </c>
      <c r="M141" s="17">
        <f t="shared" si="10"/>
        <v>0.40953116856100102</v>
      </c>
      <c r="N141" s="8">
        <v>4.8100000000000003E-7</v>
      </c>
      <c r="O141" s="11">
        <v>4.9800000000000004</v>
      </c>
      <c r="P141" s="7" t="s">
        <v>39</v>
      </c>
      <c r="Q141" s="11">
        <v>41.49</v>
      </c>
      <c r="R141" s="7">
        <v>27</v>
      </c>
      <c r="S141" s="7">
        <v>27</v>
      </c>
    </row>
    <row r="142" spans="1:19" x14ac:dyDescent="0.25">
      <c r="A142" s="5" t="s">
        <v>27</v>
      </c>
      <c r="B142" s="5" t="s">
        <v>16</v>
      </c>
      <c r="C142" s="7">
        <v>3</v>
      </c>
      <c r="D142" s="7" t="s">
        <v>54</v>
      </c>
      <c r="E142" s="16">
        <v>12922236</v>
      </c>
      <c r="F142" s="16">
        <v>1241231</v>
      </c>
      <c r="G142" s="11">
        <v>146.79976512037581</v>
      </c>
      <c r="H142" s="7">
        <v>100</v>
      </c>
      <c r="I142" s="10">
        <f t="shared" si="9"/>
        <v>1.467997651203758</v>
      </c>
      <c r="J142" s="11">
        <v>10.4108</v>
      </c>
      <c r="K142" s="10">
        <f t="shared" si="8"/>
        <v>15.283029947152084</v>
      </c>
      <c r="L142" s="21">
        <v>27365.49</v>
      </c>
      <c r="M142" s="17">
        <f t="shared" si="10"/>
        <v>0.41822760318849089</v>
      </c>
      <c r="N142" s="8">
        <v>3.3900000000000002E-6</v>
      </c>
      <c r="O142" s="11">
        <v>4.43</v>
      </c>
      <c r="P142" s="7" t="s">
        <v>39</v>
      </c>
      <c r="Q142" s="11">
        <v>41.31</v>
      </c>
      <c r="R142" s="7">
        <v>27</v>
      </c>
      <c r="S142" s="7">
        <v>27</v>
      </c>
    </row>
    <row r="143" spans="1:19" x14ac:dyDescent="0.25">
      <c r="A143" s="5" t="s">
        <v>27</v>
      </c>
      <c r="B143" s="5" t="s">
        <v>16</v>
      </c>
      <c r="C143" s="7">
        <v>3</v>
      </c>
      <c r="D143" s="7" t="s">
        <v>55</v>
      </c>
      <c r="E143" s="16">
        <v>17500424</v>
      </c>
      <c r="F143" s="16">
        <v>1721157</v>
      </c>
      <c r="G143" s="11">
        <v>176.74089784376105</v>
      </c>
      <c r="H143" s="7">
        <v>100</v>
      </c>
      <c r="I143" s="10">
        <f t="shared" si="9"/>
        <v>1.7674089784376106</v>
      </c>
      <c r="J143" s="11">
        <v>10.1678</v>
      </c>
      <c r="K143" s="10">
        <f t="shared" si="8"/>
        <v>17.970661010957937</v>
      </c>
      <c r="L143" s="21">
        <v>27365.49</v>
      </c>
      <c r="M143" s="17">
        <f t="shared" si="10"/>
        <v>0.49177594418875931</v>
      </c>
      <c r="N143" s="8">
        <v>2.61E-6</v>
      </c>
      <c r="O143" s="11">
        <v>4.55</v>
      </c>
      <c r="P143" s="7" t="s">
        <v>39</v>
      </c>
      <c r="Q143" s="11">
        <v>41.24</v>
      </c>
      <c r="R143" s="7">
        <v>35</v>
      </c>
      <c r="S143" s="7">
        <v>35</v>
      </c>
    </row>
    <row r="144" spans="1:19" x14ac:dyDescent="0.25">
      <c r="A144" s="5" t="s">
        <v>27</v>
      </c>
      <c r="B144" s="5" t="s">
        <v>16</v>
      </c>
      <c r="C144" s="7">
        <v>3</v>
      </c>
      <c r="D144" s="7" t="s">
        <v>56</v>
      </c>
      <c r="E144" s="16">
        <v>17202514</v>
      </c>
      <c r="F144" s="16">
        <v>1696911</v>
      </c>
      <c r="G144" s="11">
        <v>181.22508155128671</v>
      </c>
      <c r="H144" s="7">
        <v>100</v>
      </c>
      <c r="I144" s="10">
        <f t="shared" si="9"/>
        <v>1.8122508155128672</v>
      </c>
      <c r="J144" s="11">
        <v>10.137499999999999</v>
      </c>
      <c r="K144" s="10">
        <f t="shared" si="8"/>
        <v>18.371692642261689</v>
      </c>
      <c r="L144" s="21">
        <v>27365.49</v>
      </c>
      <c r="M144" s="17">
        <f t="shared" si="10"/>
        <v>0.50275037128488587</v>
      </c>
      <c r="N144" s="8">
        <v>2.0099999999999998E-6</v>
      </c>
      <c r="O144" s="11">
        <v>4.6399999999999997</v>
      </c>
      <c r="P144" s="7" t="s">
        <v>39</v>
      </c>
      <c r="Q144" s="11">
        <v>41.72</v>
      </c>
      <c r="R144" s="7">
        <v>28</v>
      </c>
      <c r="S144" s="7">
        <v>28</v>
      </c>
    </row>
    <row r="145" spans="1:20" x14ac:dyDescent="0.25">
      <c r="A145" s="5" t="s">
        <v>27</v>
      </c>
      <c r="B145" s="5" t="s">
        <v>16</v>
      </c>
      <c r="C145" s="7">
        <v>3</v>
      </c>
      <c r="D145" s="7" t="s">
        <v>57</v>
      </c>
      <c r="E145" s="16">
        <v>14421070</v>
      </c>
      <c r="F145" s="16">
        <v>1458909</v>
      </c>
      <c r="G145" s="11">
        <v>173.79214459506429</v>
      </c>
      <c r="H145" s="7">
        <v>100</v>
      </c>
      <c r="I145" s="10">
        <f t="shared" si="9"/>
        <v>1.7379214459506429</v>
      </c>
      <c r="J145" s="11">
        <v>9.8848000000000003</v>
      </c>
      <c r="K145" s="10">
        <f t="shared" si="8"/>
        <v>17.179005908932915</v>
      </c>
      <c r="L145" s="21">
        <v>27365.49</v>
      </c>
      <c r="M145" s="17">
        <f t="shared" si="10"/>
        <v>0.4701119144108446</v>
      </c>
      <c r="N145" s="8">
        <v>2.61E-6</v>
      </c>
      <c r="O145" s="11">
        <v>4.54</v>
      </c>
      <c r="P145" s="7" t="s">
        <v>39</v>
      </c>
      <c r="Q145" s="11">
        <v>41.45</v>
      </c>
      <c r="R145" s="7">
        <v>26</v>
      </c>
      <c r="S145" s="7">
        <v>26</v>
      </c>
    </row>
    <row r="146" spans="1:20" x14ac:dyDescent="0.25">
      <c r="A146" s="5" t="s">
        <v>23</v>
      </c>
      <c r="B146" s="5" t="s">
        <v>5</v>
      </c>
      <c r="C146" s="7">
        <v>2</v>
      </c>
      <c r="D146" s="7" t="s">
        <v>54</v>
      </c>
      <c r="E146" s="16">
        <v>588482</v>
      </c>
      <c r="F146" s="16">
        <v>5851896</v>
      </c>
      <c r="G146" s="11">
        <v>146.79976512037581</v>
      </c>
      <c r="H146" s="7">
        <v>1</v>
      </c>
      <c r="I146" s="10">
        <f t="shared" si="9"/>
        <v>146.79976512037581</v>
      </c>
      <c r="J146" s="11">
        <v>0.10059999999999999</v>
      </c>
      <c r="K146" s="10">
        <f t="shared" si="8"/>
        <v>14.768056371109806</v>
      </c>
      <c r="L146" s="21">
        <v>10684.86</v>
      </c>
      <c r="M146" s="17">
        <f t="shared" si="10"/>
        <v>0.15779461479741633</v>
      </c>
      <c r="N146" s="8">
        <v>2.3099999999999999E-6</v>
      </c>
      <c r="O146" s="11">
        <v>4.59</v>
      </c>
      <c r="P146" s="7" t="s">
        <v>39</v>
      </c>
      <c r="Q146" s="11">
        <v>26.39</v>
      </c>
      <c r="R146" s="7">
        <v>33</v>
      </c>
      <c r="S146" s="7">
        <v>33</v>
      </c>
      <c r="T146" s="23"/>
    </row>
    <row r="147" spans="1:20" x14ac:dyDescent="0.25">
      <c r="A147" s="5" t="s">
        <v>23</v>
      </c>
      <c r="B147" s="5" t="s">
        <v>5</v>
      </c>
      <c r="C147" s="7">
        <v>2</v>
      </c>
      <c r="D147" s="7" t="s">
        <v>55</v>
      </c>
      <c r="E147" s="16">
        <v>581892</v>
      </c>
      <c r="F147" s="16">
        <v>5762850</v>
      </c>
      <c r="G147" s="11">
        <v>176.74089784376105</v>
      </c>
      <c r="H147" s="7">
        <v>1</v>
      </c>
      <c r="I147" s="10">
        <f t="shared" si="9"/>
        <v>176.74089784376105</v>
      </c>
      <c r="J147" s="11">
        <v>0.10100000000000001</v>
      </c>
      <c r="K147" s="10">
        <f t="shared" si="8"/>
        <v>17.850830682219868</v>
      </c>
      <c r="L147" s="21">
        <v>10684.86</v>
      </c>
      <c r="M147" s="17">
        <f t="shared" si="10"/>
        <v>0.1907336267232238</v>
      </c>
      <c r="N147" s="8">
        <v>2.3099999999999999E-6</v>
      </c>
      <c r="O147" s="11">
        <v>4.5999999999999996</v>
      </c>
      <c r="P147" s="7" t="s">
        <v>39</v>
      </c>
      <c r="Q147" s="11">
        <v>26.11</v>
      </c>
      <c r="R147" s="7">
        <v>28</v>
      </c>
      <c r="S147" s="7">
        <v>28</v>
      </c>
      <c r="T147" s="23"/>
    </row>
    <row r="148" spans="1:20" x14ac:dyDescent="0.25">
      <c r="A148" s="5" t="s">
        <v>23</v>
      </c>
      <c r="B148" s="5" t="s">
        <v>5</v>
      </c>
      <c r="C148" s="7">
        <v>2</v>
      </c>
      <c r="D148" s="7" t="s">
        <v>56</v>
      </c>
      <c r="E148" s="16">
        <v>548716</v>
      </c>
      <c r="F148" s="16">
        <v>5376742</v>
      </c>
      <c r="G148" s="11">
        <v>181.22508155128671</v>
      </c>
      <c r="H148" s="7">
        <v>1</v>
      </c>
      <c r="I148" s="10">
        <f t="shared" si="9"/>
        <v>181.22508155128671</v>
      </c>
      <c r="J148" s="11">
        <v>0.1021</v>
      </c>
      <c r="K148" s="10">
        <f t="shared" si="8"/>
        <v>18.503080826386373</v>
      </c>
      <c r="L148" s="21">
        <v>10684.86</v>
      </c>
      <c r="M148" s="17">
        <f t="shared" si="10"/>
        <v>0.1977028281986227</v>
      </c>
      <c r="N148" s="8">
        <v>2.61E-6</v>
      </c>
      <c r="O148" s="11">
        <v>4.54</v>
      </c>
      <c r="P148" s="7" t="s">
        <v>39</v>
      </c>
      <c r="Q148" s="11">
        <v>26.29</v>
      </c>
      <c r="R148" s="7">
        <v>26</v>
      </c>
      <c r="S148" s="7">
        <v>26</v>
      </c>
      <c r="T148" s="23"/>
    </row>
    <row r="149" spans="1:20" x14ac:dyDescent="0.25">
      <c r="A149" s="5" t="s">
        <v>23</v>
      </c>
      <c r="B149" s="5" t="s">
        <v>5</v>
      </c>
      <c r="C149" s="7">
        <v>2</v>
      </c>
      <c r="D149" s="7" t="s">
        <v>57</v>
      </c>
      <c r="E149" s="16">
        <v>510030</v>
      </c>
      <c r="F149" s="16">
        <v>4901809</v>
      </c>
      <c r="G149" s="11">
        <v>173.79214459506429</v>
      </c>
      <c r="H149" s="7">
        <v>1</v>
      </c>
      <c r="I149" s="10">
        <f t="shared" si="9"/>
        <v>173.79214459506429</v>
      </c>
      <c r="J149" s="11">
        <v>0.104</v>
      </c>
      <c r="K149" s="10">
        <f t="shared" si="8"/>
        <v>18.074383037886683</v>
      </c>
      <c r="L149" s="21">
        <v>10684.86</v>
      </c>
      <c r="M149" s="17">
        <f t="shared" si="10"/>
        <v>0.1931222523461939</v>
      </c>
      <c r="N149" s="8">
        <v>2.74E-6</v>
      </c>
      <c r="O149" s="11">
        <v>4.5</v>
      </c>
      <c r="P149" s="7" t="s">
        <v>39</v>
      </c>
      <c r="Q149" s="11">
        <v>26.49</v>
      </c>
      <c r="R149" s="7">
        <v>28</v>
      </c>
      <c r="S149" s="7">
        <v>28</v>
      </c>
      <c r="T149" s="23"/>
    </row>
    <row r="150" spans="1:20" x14ac:dyDescent="0.25">
      <c r="A150" s="5" t="s">
        <v>23</v>
      </c>
      <c r="B150" s="5" t="s">
        <v>60</v>
      </c>
      <c r="C150" s="7">
        <v>2</v>
      </c>
      <c r="D150" s="7" t="s">
        <v>54</v>
      </c>
      <c r="E150" s="16">
        <v>909662</v>
      </c>
      <c r="F150" s="16">
        <v>817951</v>
      </c>
      <c r="G150" s="11">
        <v>146.79976512037581</v>
      </c>
      <c r="H150" s="7">
        <v>10</v>
      </c>
      <c r="I150" s="10">
        <f t="shared" si="9"/>
        <v>14.67997651203758</v>
      </c>
      <c r="J150" s="11">
        <v>1.1121000000000001</v>
      </c>
      <c r="K150" s="10">
        <f t="shared" ref="K150:K181" si="11">J150*I150</f>
        <v>16.325601879036995</v>
      </c>
      <c r="L150" s="21">
        <v>10684.86</v>
      </c>
      <c r="M150" s="17">
        <f t="shared" si="10"/>
        <v>0.17443677049324724</v>
      </c>
      <c r="N150" s="8">
        <v>9.6500000000000008E-6</v>
      </c>
      <c r="O150" s="11">
        <v>4.0999999999999996</v>
      </c>
      <c r="P150" s="7" t="s">
        <v>39</v>
      </c>
      <c r="Q150" s="11">
        <v>26.13</v>
      </c>
      <c r="R150" s="7">
        <v>28</v>
      </c>
      <c r="S150" s="7">
        <v>28</v>
      </c>
      <c r="T150" s="23"/>
    </row>
    <row r="151" spans="1:20" x14ac:dyDescent="0.25">
      <c r="A151" s="5" t="s">
        <v>23</v>
      </c>
      <c r="B151" s="5" t="s">
        <v>60</v>
      </c>
      <c r="C151" s="7">
        <v>2</v>
      </c>
      <c r="D151" s="7" t="s">
        <v>55</v>
      </c>
      <c r="E151" s="16">
        <v>1197178</v>
      </c>
      <c r="F151" s="16">
        <v>952980</v>
      </c>
      <c r="G151" s="11">
        <v>176.74089784376105</v>
      </c>
      <c r="H151" s="7">
        <v>10</v>
      </c>
      <c r="I151" s="10">
        <f t="shared" si="9"/>
        <v>17.674089784376104</v>
      </c>
      <c r="J151" s="11">
        <v>1.2562</v>
      </c>
      <c r="K151" s="10">
        <f t="shared" si="11"/>
        <v>22.20219158713326</v>
      </c>
      <c r="L151" s="21">
        <v>10684.86</v>
      </c>
      <c r="M151" s="17">
        <f t="shared" si="10"/>
        <v>0.23722730880169671</v>
      </c>
      <c r="N151" s="8">
        <v>6.02E-6</v>
      </c>
      <c r="O151" s="11">
        <v>4.2300000000000004</v>
      </c>
      <c r="P151" s="7" t="s">
        <v>39</v>
      </c>
      <c r="Q151" s="11">
        <v>25.91</v>
      </c>
      <c r="R151" s="7">
        <v>25</v>
      </c>
      <c r="S151" s="7">
        <v>25</v>
      </c>
      <c r="T151" s="23"/>
    </row>
    <row r="152" spans="1:20" x14ac:dyDescent="0.25">
      <c r="A152" s="5" t="s">
        <v>23</v>
      </c>
      <c r="B152" s="5" t="s">
        <v>60</v>
      </c>
      <c r="C152" s="7">
        <v>2</v>
      </c>
      <c r="D152" s="7" t="s">
        <v>56</v>
      </c>
      <c r="E152" s="16">
        <v>1085678</v>
      </c>
      <c r="F152" s="16">
        <v>1011675</v>
      </c>
      <c r="G152" s="11">
        <v>181.22508155128671</v>
      </c>
      <c r="H152" s="7">
        <v>10</v>
      </c>
      <c r="I152" s="10">
        <f t="shared" si="9"/>
        <v>18.122508155128671</v>
      </c>
      <c r="J152" s="11">
        <v>1.0730999999999999</v>
      </c>
      <c r="K152" s="10">
        <f t="shared" si="11"/>
        <v>19.447263501268576</v>
      </c>
      <c r="L152" s="21">
        <v>10684.86</v>
      </c>
      <c r="M152" s="17">
        <f t="shared" si="10"/>
        <v>0.20779128789416457</v>
      </c>
      <c r="N152" s="8">
        <v>1.06E-5</v>
      </c>
      <c r="O152" s="11">
        <v>4.0599999999999996</v>
      </c>
      <c r="P152" s="7" t="s">
        <v>39</v>
      </c>
      <c r="Q152" s="11">
        <v>26.33</v>
      </c>
      <c r="R152" s="7">
        <v>29</v>
      </c>
      <c r="S152" s="7">
        <v>29</v>
      </c>
      <c r="T152" s="23"/>
    </row>
    <row r="153" spans="1:20" x14ac:dyDescent="0.25">
      <c r="A153" s="5" t="s">
        <v>23</v>
      </c>
      <c r="B153" s="5" t="s">
        <v>60</v>
      </c>
      <c r="C153" s="7">
        <v>2</v>
      </c>
      <c r="D153" s="7" t="s">
        <v>57</v>
      </c>
      <c r="E153" s="16">
        <v>924697</v>
      </c>
      <c r="F153" s="16">
        <v>891425</v>
      </c>
      <c r="G153" s="11">
        <v>173.79214459506429</v>
      </c>
      <c r="H153" s="7">
        <v>10</v>
      </c>
      <c r="I153" s="10">
        <f t="shared" si="9"/>
        <v>17.379214459506429</v>
      </c>
      <c r="J153" s="11">
        <v>1.0373000000000001</v>
      </c>
      <c r="K153" s="10">
        <f t="shared" si="11"/>
        <v>18.027459158846021</v>
      </c>
      <c r="L153" s="21">
        <v>10684.86</v>
      </c>
      <c r="M153" s="17">
        <f t="shared" si="10"/>
        <v>0.19262087726798749</v>
      </c>
      <c r="N153" s="8">
        <v>1.0200000000000001E-5</v>
      </c>
      <c r="O153" s="11">
        <v>4.08</v>
      </c>
      <c r="P153" s="7" t="s">
        <v>39</v>
      </c>
      <c r="Q153" s="11">
        <v>26.29</v>
      </c>
      <c r="R153" s="7">
        <v>27</v>
      </c>
      <c r="S153" s="7">
        <v>27</v>
      </c>
      <c r="T153" s="23"/>
    </row>
    <row r="154" spans="1:20" x14ac:dyDescent="0.25">
      <c r="A154" s="5" t="s">
        <v>23</v>
      </c>
      <c r="B154" s="5" t="s">
        <v>5</v>
      </c>
      <c r="C154" s="7">
        <v>2</v>
      </c>
      <c r="D154" s="7" t="s">
        <v>54</v>
      </c>
      <c r="E154" s="16">
        <v>965721</v>
      </c>
      <c r="F154" s="16">
        <v>114634</v>
      </c>
      <c r="G154" s="11">
        <v>146.79976512037581</v>
      </c>
      <c r="H154" s="7">
        <v>100</v>
      </c>
      <c r="I154" s="10">
        <f t="shared" si="9"/>
        <v>1.467997651203758</v>
      </c>
      <c r="J154" s="11">
        <v>8.4244000000000003</v>
      </c>
      <c r="K154" s="10">
        <f t="shared" si="11"/>
        <v>12.36699941280094</v>
      </c>
      <c r="L154" s="21">
        <v>10684.86</v>
      </c>
      <c r="M154" s="17">
        <f t="shared" si="10"/>
        <v>0.13213965734586028</v>
      </c>
      <c r="N154" s="8">
        <v>1.43E-5</v>
      </c>
      <c r="O154" s="11">
        <v>3.98</v>
      </c>
      <c r="P154" s="7" t="s">
        <v>39</v>
      </c>
      <c r="Q154" s="11">
        <v>26.11</v>
      </c>
      <c r="R154" s="7">
        <v>27</v>
      </c>
      <c r="S154" s="7">
        <v>27</v>
      </c>
      <c r="T154" s="23"/>
    </row>
    <row r="155" spans="1:20" x14ac:dyDescent="0.25">
      <c r="A155" s="5" t="s">
        <v>23</v>
      </c>
      <c r="B155" s="5" t="s">
        <v>5</v>
      </c>
      <c r="C155" s="7">
        <v>2</v>
      </c>
      <c r="D155" s="7" t="s">
        <v>55</v>
      </c>
      <c r="E155" s="16">
        <v>1055243</v>
      </c>
      <c r="F155" s="16">
        <v>118516</v>
      </c>
      <c r="G155" s="11">
        <v>176.74089784376105</v>
      </c>
      <c r="H155" s="7">
        <v>100</v>
      </c>
      <c r="I155" s="10">
        <f t="shared" si="9"/>
        <v>1.7674089784376106</v>
      </c>
      <c r="J155" s="11">
        <v>8.9038000000000004</v>
      </c>
      <c r="K155" s="10">
        <f t="shared" si="11"/>
        <v>15.736656062212798</v>
      </c>
      <c r="L155" s="21">
        <v>10684.86</v>
      </c>
      <c r="M155" s="17">
        <f t="shared" si="10"/>
        <v>0.16814396689289507</v>
      </c>
      <c r="N155" s="8">
        <v>1.6399999999999999E-5</v>
      </c>
      <c r="O155" s="11">
        <v>3.91</v>
      </c>
      <c r="P155" s="7" t="s">
        <v>39</v>
      </c>
      <c r="Q155" s="11">
        <v>26.18</v>
      </c>
      <c r="R155" s="7">
        <v>28</v>
      </c>
      <c r="S155" s="7">
        <v>28</v>
      </c>
      <c r="T155" s="23"/>
    </row>
    <row r="156" spans="1:20" x14ac:dyDescent="0.25">
      <c r="A156" s="5" t="s">
        <v>23</v>
      </c>
      <c r="B156" s="5" t="s">
        <v>5</v>
      </c>
      <c r="C156" s="7">
        <v>2</v>
      </c>
      <c r="D156" s="7" t="s">
        <v>56</v>
      </c>
      <c r="E156" s="16">
        <v>1068606</v>
      </c>
      <c r="F156" s="16">
        <v>101520</v>
      </c>
      <c r="G156" s="11">
        <v>181.22508155128671</v>
      </c>
      <c r="H156" s="7">
        <v>100</v>
      </c>
      <c r="I156" s="10">
        <f t="shared" si="9"/>
        <v>1.8122508155128672</v>
      </c>
      <c r="J156" s="11">
        <v>10.5261</v>
      </c>
      <c r="K156" s="10">
        <f t="shared" si="11"/>
        <v>19.07593330916999</v>
      </c>
      <c r="L156" s="21">
        <v>10684.86</v>
      </c>
      <c r="M156" s="17">
        <f t="shared" si="10"/>
        <v>0.20382367677781807</v>
      </c>
      <c r="N156" s="8">
        <v>1.4600000000000001E-5</v>
      </c>
      <c r="O156" s="11">
        <v>3.96</v>
      </c>
      <c r="P156" s="7" t="s">
        <v>39</v>
      </c>
      <c r="Q156" s="11">
        <v>26.59</v>
      </c>
      <c r="R156" s="7">
        <v>26</v>
      </c>
      <c r="S156" s="7">
        <v>26</v>
      </c>
      <c r="T156" s="23"/>
    </row>
    <row r="157" spans="1:20" x14ac:dyDescent="0.25">
      <c r="A157" s="5" t="s">
        <v>23</v>
      </c>
      <c r="B157" s="5" t="s">
        <v>5</v>
      </c>
      <c r="C157" s="7">
        <v>2</v>
      </c>
      <c r="D157" s="7" t="s">
        <v>57</v>
      </c>
      <c r="E157" s="16">
        <v>846905</v>
      </c>
      <c r="F157" s="16">
        <v>122620</v>
      </c>
      <c r="G157" s="11">
        <v>173.79214459506429</v>
      </c>
      <c r="H157" s="7">
        <v>100</v>
      </c>
      <c r="I157" s="10">
        <f t="shared" si="9"/>
        <v>1.7379214459506429</v>
      </c>
      <c r="J157" s="11">
        <v>6.9066999999999998</v>
      </c>
      <c r="K157" s="10">
        <f t="shared" si="11"/>
        <v>12.003302050747305</v>
      </c>
      <c r="L157" s="21">
        <v>10684.86</v>
      </c>
      <c r="M157" s="17">
        <f t="shared" si="10"/>
        <v>0.12825360194994787</v>
      </c>
      <c r="N157" s="8">
        <v>2.0999999999999999E-5</v>
      </c>
      <c r="O157" s="11">
        <v>3.82</v>
      </c>
      <c r="P157" s="7" t="s">
        <v>39</v>
      </c>
      <c r="Q157" s="11">
        <v>26.24</v>
      </c>
      <c r="R157" s="7">
        <v>33</v>
      </c>
      <c r="S157" s="7">
        <v>33</v>
      </c>
      <c r="T157" s="23"/>
    </row>
    <row r="158" spans="1:20" x14ac:dyDescent="0.25">
      <c r="A158" s="5" t="s">
        <v>24</v>
      </c>
      <c r="B158" s="5" t="s">
        <v>12</v>
      </c>
      <c r="C158" s="7">
        <v>2</v>
      </c>
      <c r="D158" s="7" t="s">
        <v>54</v>
      </c>
      <c r="E158" s="16">
        <v>1898471</v>
      </c>
      <c r="F158" s="16">
        <v>85127128</v>
      </c>
      <c r="G158" s="11">
        <v>146.79976512037581</v>
      </c>
      <c r="H158" s="7">
        <v>1</v>
      </c>
      <c r="I158" s="10">
        <f t="shared" si="9"/>
        <v>146.79976512037581</v>
      </c>
      <c r="J158" s="11">
        <v>2.23E-2</v>
      </c>
      <c r="K158" s="10">
        <f t="shared" si="11"/>
        <v>3.2736347621843804</v>
      </c>
      <c r="L158" s="21">
        <v>13776.5</v>
      </c>
      <c r="M158" s="17">
        <f t="shared" si="10"/>
        <v>4.5099229301233112E-2</v>
      </c>
      <c r="N158" s="8">
        <v>1.2799999999999999E-5</v>
      </c>
      <c r="O158" s="11">
        <v>4.01</v>
      </c>
      <c r="P158" s="7" t="s">
        <v>39</v>
      </c>
      <c r="Q158" s="11">
        <v>37.520000000000003</v>
      </c>
      <c r="R158" s="7">
        <v>57</v>
      </c>
      <c r="S158" s="7">
        <v>57</v>
      </c>
    </row>
    <row r="159" spans="1:20" x14ac:dyDescent="0.25">
      <c r="A159" s="5" t="s">
        <v>24</v>
      </c>
      <c r="B159" s="5" t="s">
        <v>12</v>
      </c>
      <c r="C159" s="7">
        <v>2</v>
      </c>
      <c r="D159" s="7" t="s">
        <v>55</v>
      </c>
      <c r="E159" s="16">
        <v>2204732</v>
      </c>
      <c r="F159" s="16">
        <v>101195144</v>
      </c>
      <c r="G159" s="11">
        <v>176.74089784376105</v>
      </c>
      <c r="H159" s="7">
        <v>1</v>
      </c>
      <c r="I159" s="10">
        <f t="shared" si="9"/>
        <v>176.74089784376105</v>
      </c>
      <c r="J159" s="11">
        <v>2.18E-2</v>
      </c>
      <c r="K159" s="10">
        <f t="shared" si="11"/>
        <v>3.8529515729939909</v>
      </c>
      <c r="L159" s="21">
        <v>13776.5</v>
      </c>
      <c r="M159" s="17">
        <f t="shared" si="10"/>
        <v>5.308018734535172E-2</v>
      </c>
      <c r="N159" s="8">
        <v>1.01E-5</v>
      </c>
      <c r="O159" s="11">
        <v>4.08</v>
      </c>
      <c r="P159" s="7" t="s">
        <v>39</v>
      </c>
      <c r="Q159" s="11">
        <v>37.25</v>
      </c>
      <c r="R159" s="7">
        <v>57</v>
      </c>
      <c r="S159" s="7">
        <v>57</v>
      </c>
    </row>
    <row r="160" spans="1:20" x14ac:dyDescent="0.25">
      <c r="A160" s="5" t="s">
        <v>24</v>
      </c>
      <c r="B160" s="5" t="s">
        <v>12</v>
      </c>
      <c r="C160" s="7">
        <v>2</v>
      </c>
      <c r="D160" s="7" t="s">
        <v>56</v>
      </c>
      <c r="E160" s="16">
        <v>1954966</v>
      </c>
      <c r="F160" s="16">
        <v>92544416</v>
      </c>
      <c r="G160" s="11">
        <v>181.22508155128671</v>
      </c>
      <c r="H160" s="7">
        <v>1</v>
      </c>
      <c r="I160" s="10">
        <f t="shared" si="9"/>
        <v>181.22508155128671</v>
      </c>
      <c r="J160" s="11">
        <v>2.1100000000000001E-2</v>
      </c>
      <c r="K160" s="10">
        <f t="shared" si="11"/>
        <v>3.8238492207321495</v>
      </c>
      <c r="L160" s="21">
        <v>13776.5</v>
      </c>
      <c r="M160" s="17">
        <f t="shared" si="10"/>
        <v>5.2679258789416462E-2</v>
      </c>
      <c r="N160" s="8">
        <v>1.36E-5</v>
      </c>
      <c r="O160" s="11">
        <v>4</v>
      </c>
      <c r="P160" s="7" t="s">
        <v>39</v>
      </c>
      <c r="Q160" s="11">
        <v>37.380000000000003</v>
      </c>
      <c r="R160" s="7">
        <v>55</v>
      </c>
      <c r="S160" s="7">
        <v>55</v>
      </c>
    </row>
    <row r="161" spans="1:22" x14ac:dyDescent="0.25">
      <c r="A161" s="5" t="s">
        <v>24</v>
      </c>
      <c r="B161" s="5" t="s">
        <v>12</v>
      </c>
      <c r="C161" s="7">
        <v>2</v>
      </c>
      <c r="D161" s="7" t="s">
        <v>57</v>
      </c>
      <c r="E161" s="16">
        <v>1617715</v>
      </c>
      <c r="F161" s="16">
        <v>77608320</v>
      </c>
      <c r="G161" s="11">
        <v>173.79214459506429</v>
      </c>
      <c r="H161" s="7">
        <v>1</v>
      </c>
      <c r="I161" s="10">
        <f t="shared" si="9"/>
        <v>173.79214459506429</v>
      </c>
      <c r="J161" s="11">
        <v>2.0799999999999999E-2</v>
      </c>
      <c r="K161" s="10">
        <f t="shared" si="11"/>
        <v>3.6148766075773371</v>
      </c>
      <c r="L161" s="21">
        <v>13776.5</v>
      </c>
      <c r="M161" s="17">
        <f t="shared" si="10"/>
        <v>4.9800347584289188E-2</v>
      </c>
      <c r="N161" s="8">
        <v>2.23E-5</v>
      </c>
      <c r="O161" s="11">
        <v>3.8</v>
      </c>
      <c r="P161" s="7" t="s">
        <v>39</v>
      </c>
      <c r="Q161" s="11">
        <v>37.68</v>
      </c>
      <c r="R161" s="7">
        <v>54</v>
      </c>
      <c r="S161" s="7">
        <v>54</v>
      </c>
    </row>
    <row r="162" spans="1:22" x14ac:dyDescent="0.25">
      <c r="A162" s="5" t="s">
        <v>24</v>
      </c>
      <c r="B162" s="5" t="s">
        <v>12</v>
      </c>
      <c r="C162" s="7">
        <v>2</v>
      </c>
      <c r="D162" s="7" t="s">
        <v>54</v>
      </c>
      <c r="E162" s="16">
        <v>1932019</v>
      </c>
      <c r="F162" s="16">
        <v>12272089</v>
      </c>
      <c r="G162" s="11">
        <v>146.79976512037581</v>
      </c>
      <c r="H162" s="7">
        <v>10</v>
      </c>
      <c r="I162" s="10">
        <f t="shared" si="9"/>
        <v>14.67997651203758</v>
      </c>
      <c r="J162" s="11">
        <v>0.15740000000000001</v>
      </c>
      <c r="K162" s="10">
        <f t="shared" si="11"/>
        <v>2.3106283029947154</v>
      </c>
      <c r="L162" s="21">
        <v>13776.5</v>
      </c>
      <c r="M162" s="17">
        <f t="shared" si="10"/>
        <v>3.1832370816206698E-2</v>
      </c>
      <c r="N162" s="8">
        <v>1.0399999999999999E-4</v>
      </c>
      <c r="O162" s="11">
        <v>3.27</v>
      </c>
      <c r="P162" s="7" t="s">
        <v>39</v>
      </c>
      <c r="Q162" s="11">
        <v>37.32</v>
      </c>
      <c r="R162" s="7">
        <v>47</v>
      </c>
      <c r="S162" s="7">
        <v>47</v>
      </c>
    </row>
    <row r="163" spans="1:22" x14ac:dyDescent="0.25">
      <c r="A163" s="5" t="s">
        <v>24</v>
      </c>
      <c r="B163" s="5" t="s">
        <v>12</v>
      </c>
      <c r="C163" s="7">
        <v>2</v>
      </c>
      <c r="D163" s="7" t="s">
        <v>55</v>
      </c>
      <c r="E163" s="16">
        <v>3543747</v>
      </c>
      <c r="F163" s="16">
        <v>17259312</v>
      </c>
      <c r="G163" s="11">
        <v>176.74089784376105</v>
      </c>
      <c r="H163" s="7">
        <v>10</v>
      </c>
      <c r="I163" s="10">
        <f t="shared" si="9"/>
        <v>17.674089784376104</v>
      </c>
      <c r="J163" s="11">
        <v>0.20530000000000001</v>
      </c>
      <c r="K163" s="10">
        <f t="shared" si="11"/>
        <v>3.6284906327324142</v>
      </c>
      <c r="L163" s="21">
        <v>13776.5</v>
      </c>
      <c r="M163" s="17">
        <f t="shared" si="10"/>
        <v>4.9987901201838103E-2</v>
      </c>
      <c r="N163" s="8">
        <v>6.0800000000000001E-5</v>
      </c>
      <c r="O163" s="11">
        <v>3.46</v>
      </c>
      <c r="P163" s="7" t="s">
        <v>39</v>
      </c>
      <c r="Q163" s="11">
        <v>37.1</v>
      </c>
      <c r="R163" s="7">
        <v>53</v>
      </c>
      <c r="S163" s="7">
        <v>53</v>
      </c>
    </row>
    <row r="164" spans="1:22" x14ac:dyDescent="0.25">
      <c r="A164" s="5" t="s">
        <v>24</v>
      </c>
      <c r="B164" s="5" t="s">
        <v>12</v>
      </c>
      <c r="C164" s="7">
        <v>2</v>
      </c>
      <c r="D164" s="7" t="s">
        <v>56</v>
      </c>
      <c r="E164" s="16">
        <v>2827540</v>
      </c>
      <c r="F164" s="16">
        <v>15910302</v>
      </c>
      <c r="G164" s="11">
        <v>181.22508155128671</v>
      </c>
      <c r="H164" s="7">
        <v>10</v>
      </c>
      <c r="I164" s="10">
        <f t="shared" si="9"/>
        <v>18.122508155128671</v>
      </c>
      <c r="J164" s="11">
        <v>0.1777</v>
      </c>
      <c r="K164" s="10">
        <f t="shared" si="11"/>
        <v>3.2203696991663646</v>
      </c>
      <c r="L164" s="21">
        <v>13776.5</v>
      </c>
      <c r="M164" s="17">
        <f t="shared" si="10"/>
        <v>4.4365423160565423E-2</v>
      </c>
      <c r="N164" s="8">
        <v>7.8999999999999996E-5</v>
      </c>
      <c r="O164" s="11">
        <v>3.36</v>
      </c>
      <c r="P164" s="7" t="s">
        <v>39</v>
      </c>
      <c r="Q164" s="11">
        <v>37.479999999999997</v>
      </c>
      <c r="R164" s="7">
        <v>54</v>
      </c>
      <c r="S164" s="7">
        <v>54</v>
      </c>
    </row>
    <row r="165" spans="1:22" x14ac:dyDescent="0.25">
      <c r="A165" s="5" t="s">
        <v>24</v>
      </c>
      <c r="B165" s="5" t="s">
        <v>12</v>
      </c>
      <c r="C165" s="7">
        <v>2</v>
      </c>
      <c r="D165" s="7" t="s">
        <v>57</v>
      </c>
      <c r="E165" s="16">
        <v>2803278</v>
      </c>
      <c r="F165" s="16">
        <v>13821398</v>
      </c>
      <c r="G165" s="11">
        <v>173.79214459506429</v>
      </c>
      <c r="H165" s="7">
        <v>10</v>
      </c>
      <c r="I165" s="10">
        <f t="shared" si="9"/>
        <v>17.379214459506429</v>
      </c>
      <c r="J165" s="11">
        <v>0.20280000000000001</v>
      </c>
      <c r="K165" s="10">
        <f t="shared" si="11"/>
        <v>3.5245046923879038</v>
      </c>
      <c r="L165" s="21">
        <v>13776.5</v>
      </c>
      <c r="M165" s="17">
        <f t="shared" si="10"/>
        <v>4.8555338894681957E-2</v>
      </c>
      <c r="N165" s="8">
        <v>1.22E-4</v>
      </c>
      <c r="O165" s="11">
        <v>3.2</v>
      </c>
      <c r="P165" s="7" t="s">
        <v>39</v>
      </c>
      <c r="Q165" s="11">
        <v>37.35</v>
      </c>
      <c r="R165" s="7">
        <v>56</v>
      </c>
      <c r="S165" s="7">
        <v>56</v>
      </c>
    </row>
    <row r="166" spans="1:22" x14ac:dyDescent="0.25">
      <c r="A166" s="5" t="s">
        <v>24</v>
      </c>
      <c r="B166" s="5" t="s">
        <v>59</v>
      </c>
      <c r="C166" s="7">
        <v>2</v>
      </c>
      <c r="D166" s="7" t="s">
        <v>54</v>
      </c>
      <c r="E166" s="16">
        <v>2984252</v>
      </c>
      <c r="F166" s="16">
        <v>1423381</v>
      </c>
      <c r="G166" s="11">
        <v>146.79976512037581</v>
      </c>
      <c r="H166" s="7">
        <v>100</v>
      </c>
      <c r="I166" s="10">
        <f t="shared" si="9"/>
        <v>1.467997651203758</v>
      </c>
      <c r="J166" s="11">
        <v>2.0966</v>
      </c>
      <c r="K166" s="10">
        <f t="shared" si="11"/>
        <v>3.0778038755137991</v>
      </c>
      <c r="L166" s="21">
        <v>13776.5</v>
      </c>
      <c r="M166" s="17">
        <f t="shared" si="10"/>
        <v>4.2401365091015851E-2</v>
      </c>
      <c r="N166" s="8">
        <v>4.6799999999999999E-4</v>
      </c>
      <c r="O166" s="11">
        <v>2.71</v>
      </c>
      <c r="P166" s="7" t="s">
        <v>39</v>
      </c>
      <c r="Q166" s="11">
        <v>37.15</v>
      </c>
      <c r="R166" s="7">
        <v>61</v>
      </c>
      <c r="S166" s="7">
        <v>61</v>
      </c>
    </row>
    <row r="167" spans="1:22" x14ac:dyDescent="0.25">
      <c r="A167" s="5" t="s">
        <v>24</v>
      </c>
      <c r="B167" s="5" t="s">
        <v>59</v>
      </c>
      <c r="C167" s="7">
        <v>2</v>
      </c>
      <c r="D167" s="7" t="s">
        <v>55</v>
      </c>
      <c r="E167" s="16">
        <v>2615811</v>
      </c>
      <c r="F167" s="16">
        <v>1459109</v>
      </c>
      <c r="G167" s="11">
        <v>176.74089784376105</v>
      </c>
      <c r="H167" s="7">
        <v>100</v>
      </c>
      <c r="I167" s="10">
        <f t="shared" si="9"/>
        <v>1.7674089784376106</v>
      </c>
      <c r="J167" s="11">
        <v>1.7927</v>
      </c>
      <c r="K167" s="10">
        <f t="shared" si="11"/>
        <v>3.1684340756451044</v>
      </c>
      <c r="L167" s="21">
        <v>13776.5</v>
      </c>
      <c r="M167" s="17">
        <f t="shared" si="10"/>
        <v>4.3649932043124784E-2</v>
      </c>
      <c r="N167" s="8">
        <v>4.2200000000000001E-4</v>
      </c>
      <c r="O167" s="11">
        <v>2.75</v>
      </c>
      <c r="P167" s="7" t="s">
        <v>39</v>
      </c>
      <c r="Q167" s="11">
        <v>37.32</v>
      </c>
      <c r="R167" s="7">
        <v>57</v>
      </c>
      <c r="S167" s="7">
        <v>57</v>
      </c>
    </row>
    <row r="168" spans="1:22" x14ac:dyDescent="0.25">
      <c r="A168" s="5" t="s">
        <v>24</v>
      </c>
      <c r="B168" s="5" t="s">
        <v>59</v>
      </c>
      <c r="C168" s="7">
        <v>2</v>
      </c>
      <c r="D168" s="7" t="s">
        <v>56</v>
      </c>
      <c r="E168" s="16">
        <v>2960882</v>
      </c>
      <c r="F168" s="16">
        <v>1833969</v>
      </c>
      <c r="G168" s="11">
        <v>181.22508155128671</v>
      </c>
      <c r="H168" s="7">
        <v>100</v>
      </c>
      <c r="I168" s="10">
        <f t="shared" si="9"/>
        <v>1.8122508155128672</v>
      </c>
      <c r="J168" s="11">
        <v>1.6145</v>
      </c>
      <c r="K168" s="10">
        <f t="shared" si="11"/>
        <v>2.9258789416455242</v>
      </c>
      <c r="L168" s="21">
        <v>13776.5</v>
      </c>
      <c r="M168" s="17">
        <f t="shared" si="10"/>
        <v>4.0308371239579567E-2</v>
      </c>
      <c r="N168" s="8">
        <v>1.1299999999999999E-3</v>
      </c>
      <c r="O168" s="11">
        <v>2.3199999999999998</v>
      </c>
      <c r="P168" s="7" t="s">
        <v>39</v>
      </c>
      <c r="Q168" s="11">
        <v>37.6</v>
      </c>
      <c r="R168" s="7">
        <v>58</v>
      </c>
      <c r="S168" s="7">
        <v>58</v>
      </c>
    </row>
    <row r="169" spans="1:22" x14ac:dyDescent="0.25">
      <c r="A169" s="5" t="s">
        <v>24</v>
      </c>
      <c r="B169" s="5" t="s">
        <v>12</v>
      </c>
      <c r="C169" s="7">
        <v>2</v>
      </c>
      <c r="D169" s="7" t="s">
        <v>57</v>
      </c>
      <c r="E169" s="16">
        <v>2728510</v>
      </c>
      <c r="F169" s="16">
        <v>1416256</v>
      </c>
      <c r="G169" s="11">
        <v>173.79214459506429</v>
      </c>
      <c r="H169" s="7">
        <v>100</v>
      </c>
      <c r="I169" s="10">
        <f t="shared" si="9"/>
        <v>1.7379214459506429</v>
      </c>
      <c r="J169" s="11">
        <v>1.9266000000000001</v>
      </c>
      <c r="K169" s="10">
        <f t="shared" si="11"/>
        <v>3.3482794577685087</v>
      </c>
      <c r="L169" s="21">
        <v>13776.5</v>
      </c>
      <c r="M169" s="17">
        <f t="shared" si="10"/>
        <v>4.6127571949947856E-2</v>
      </c>
      <c r="N169" s="8">
        <v>1.1000000000000001E-3</v>
      </c>
      <c r="O169" s="11">
        <v>2.33</v>
      </c>
      <c r="P169" s="7" t="s">
        <v>40</v>
      </c>
      <c r="Q169" s="11">
        <v>35.85</v>
      </c>
      <c r="R169" s="7">
        <v>59</v>
      </c>
      <c r="S169" s="7">
        <v>59</v>
      </c>
    </row>
    <row r="170" spans="1:22" x14ac:dyDescent="0.25">
      <c r="A170" s="5" t="s">
        <v>49</v>
      </c>
      <c r="B170" s="5" t="s">
        <v>11</v>
      </c>
      <c r="C170" s="7">
        <v>2</v>
      </c>
      <c r="D170" s="7" t="s">
        <v>54</v>
      </c>
      <c r="E170" s="16">
        <v>1249358</v>
      </c>
      <c r="F170" s="16">
        <v>63748576</v>
      </c>
      <c r="G170" s="11">
        <v>146.79976512037581</v>
      </c>
      <c r="H170" s="7">
        <v>1</v>
      </c>
      <c r="I170" s="10">
        <f t="shared" si="9"/>
        <v>146.79976512037581</v>
      </c>
      <c r="J170" s="11">
        <v>1.9599999999999999E-2</v>
      </c>
      <c r="K170" s="10">
        <f t="shared" si="11"/>
        <v>2.8772753963593658</v>
      </c>
      <c r="L170" s="21">
        <v>31776.400000000001</v>
      </c>
      <c r="M170" s="17">
        <f t="shared" si="10"/>
        <v>9.1429453904873753E-2</v>
      </c>
      <c r="N170" s="8">
        <v>2.74E-6</v>
      </c>
      <c r="O170" s="11">
        <v>4.49</v>
      </c>
      <c r="P170" s="7" t="s">
        <v>39</v>
      </c>
      <c r="Q170" s="11">
        <v>31.69</v>
      </c>
      <c r="R170" s="7">
        <v>31</v>
      </c>
      <c r="S170" s="7">
        <v>31</v>
      </c>
      <c r="T170" s="6"/>
      <c r="U170" s="6"/>
      <c r="V170" s="6"/>
    </row>
    <row r="171" spans="1:22" x14ac:dyDescent="0.25">
      <c r="A171" s="5" t="s">
        <v>49</v>
      </c>
      <c r="B171" s="5" t="s">
        <v>11</v>
      </c>
      <c r="C171" s="7">
        <v>2</v>
      </c>
      <c r="D171" s="7" t="s">
        <v>55</v>
      </c>
      <c r="E171" s="16">
        <v>1451344</v>
      </c>
      <c r="F171" s="16">
        <v>72413360</v>
      </c>
      <c r="G171" s="11">
        <v>176.74089784376105</v>
      </c>
      <c r="H171" s="7">
        <v>1</v>
      </c>
      <c r="I171" s="10">
        <f t="shared" si="9"/>
        <v>176.74089784376105</v>
      </c>
      <c r="J171" s="11">
        <v>0.02</v>
      </c>
      <c r="K171" s="10">
        <f t="shared" si="11"/>
        <v>3.5348179568752212</v>
      </c>
      <c r="L171" s="21">
        <v>31776.400000000001</v>
      </c>
      <c r="M171" s="17">
        <f t="shared" si="10"/>
        <v>0.11232378932484978</v>
      </c>
      <c r="N171" s="8">
        <v>2.6699999999999998E-6</v>
      </c>
      <c r="O171" s="11">
        <v>4.53</v>
      </c>
      <c r="P171" s="7" t="s">
        <v>39</v>
      </c>
      <c r="Q171" s="11">
        <v>31.25</v>
      </c>
      <c r="R171" s="7">
        <v>31</v>
      </c>
      <c r="S171" s="7">
        <v>31</v>
      </c>
      <c r="T171" s="6"/>
      <c r="U171" s="6"/>
      <c r="V171" s="6"/>
    </row>
    <row r="172" spans="1:22" x14ac:dyDescent="0.25">
      <c r="A172" s="5" t="s">
        <v>49</v>
      </c>
      <c r="B172" s="5" t="s">
        <v>11</v>
      </c>
      <c r="C172" s="7">
        <v>2</v>
      </c>
      <c r="D172" s="7" t="s">
        <v>56</v>
      </c>
      <c r="E172" s="16">
        <v>1411493</v>
      </c>
      <c r="F172" s="16">
        <v>62650068</v>
      </c>
      <c r="G172" s="11">
        <v>181.22508155128671</v>
      </c>
      <c r="H172" s="7">
        <v>1</v>
      </c>
      <c r="I172" s="10">
        <f t="shared" si="9"/>
        <v>181.22508155128671</v>
      </c>
      <c r="J172" s="11">
        <v>2.2499999999999999E-2</v>
      </c>
      <c r="K172" s="10">
        <f t="shared" si="11"/>
        <v>4.0775643349039505</v>
      </c>
      <c r="L172" s="21">
        <v>31776.400000000001</v>
      </c>
      <c r="M172" s="17">
        <f t="shared" si="10"/>
        <v>0.1295703153316419</v>
      </c>
      <c r="N172" s="8">
        <v>2.74E-6</v>
      </c>
      <c r="O172" s="11">
        <v>4.5</v>
      </c>
      <c r="P172" s="7" t="s">
        <v>39</v>
      </c>
      <c r="Q172" s="11">
        <v>31.49</v>
      </c>
      <c r="R172" s="7">
        <v>32</v>
      </c>
      <c r="S172" s="7">
        <v>32</v>
      </c>
      <c r="T172" s="6"/>
      <c r="U172" s="6"/>
      <c r="V172" s="6"/>
    </row>
    <row r="173" spans="1:22" x14ac:dyDescent="0.25">
      <c r="A173" s="5" t="s">
        <v>49</v>
      </c>
      <c r="B173" s="5" t="s">
        <v>11</v>
      </c>
      <c r="C173" s="7">
        <v>2</v>
      </c>
      <c r="D173" s="7" t="s">
        <v>57</v>
      </c>
      <c r="E173" s="16">
        <v>1365429</v>
      </c>
      <c r="F173" s="16">
        <v>62952224</v>
      </c>
      <c r="G173" s="11">
        <v>173.79214459506429</v>
      </c>
      <c r="H173" s="7">
        <v>1</v>
      </c>
      <c r="I173" s="10">
        <f t="shared" si="9"/>
        <v>173.79214459506429</v>
      </c>
      <c r="J173" s="11">
        <v>2.1700000000000001E-2</v>
      </c>
      <c r="K173" s="10">
        <f t="shared" si="11"/>
        <v>3.771289537712895</v>
      </c>
      <c r="L173" s="21">
        <v>31776.400000000001</v>
      </c>
      <c r="M173" s="17">
        <f t="shared" si="10"/>
        <v>0.11983800486618004</v>
      </c>
      <c r="N173" s="8">
        <v>3.7000000000000002E-6</v>
      </c>
      <c r="O173" s="11">
        <v>4.3899999999999997</v>
      </c>
      <c r="P173" s="7" t="s">
        <v>39</v>
      </c>
      <c r="Q173" s="11">
        <v>31.82</v>
      </c>
      <c r="R173" s="7">
        <v>31</v>
      </c>
      <c r="S173" s="7">
        <v>31</v>
      </c>
      <c r="T173" s="6"/>
      <c r="U173" s="6"/>
      <c r="V173" s="6"/>
    </row>
    <row r="174" spans="1:22" x14ac:dyDescent="0.25">
      <c r="A174" s="5" t="s">
        <v>49</v>
      </c>
      <c r="B174" s="5" t="s">
        <v>11</v>
      </c>
      <c r="C174" s="7">
        <v>2</v>
      </c>
      <c r="D174" s="7" t="s">
        <v>54</v>
      </c>
      <c r="E174" s="16">
        <v>1211215</v>
      </c>
      <c r="F174" s="16">
        <v>6572848</v>
      </c>
      <c r="G174" s="11">
        <v>146.79976512037581</v>
      </c>
      <c r="H174" s="7">
        <v>10</v>
      </c>
      <c r="I174" s="10">
        <f t="shared" si="9"/>
        <v>14.67997651203758</v>
      </c>
      <c r="J174" s="11">
        <v>0.18429999999999999</v>
      </c>
      <c r="K174" s="10">
        <f t="shared" si="11"/>
        <v>2.7055196711685259</v>
      </c>
      <c r="L174" s="21">
        <v>31776.400000000001</v>
      </c>
      <c r="M174" s="17">
        <f t="shared" si="10"/>
        <v>8.5971675278919552E-2</v>
      </c>
      <c r="N174" s="8">
        <v>2.0999999999999999E-5</v>
      </c>
      <c r="O174" s="11">
        <v>3.82</v>
      </c>
      <c r="P174" s="7" t="s">
        <v>39</v>
      </c>
      <c r="Q174" s="11">
        <v>31.21</v>
      </c>
      <c r="R174" s="7">
        <v>29</v>
      </c>
      <c r="S174" s="7">
        <v>29</v>
      </c>
      <c r="T174" s="6"/>
      <c r="U174" s="6"/>
      <c r="V174" s="6"/>
    </row>
    <row r="175" spans="1:22" x14ac:dyDescent="0.25">
      <c r="A175" s="5" t="s">
        <v>49</v>
      </c>
      <c r="B175" s="5" t="s">
        <v>11</v>
      </c>
      <c r="C175" s="7">
        <v>2</v>
      </c>
      <c r="D175" s="7" t="s">
        <v>55</v>
      </c>
      <c r="E175" s="16">
        <v>1495288</v>
      </c>
      <c r="F175" s="16">
        <v>8223940</v>
      </c>
      <c r="G175" s="11">
        <v>176.74089784376105</v>
      </c>
      <c r="H175" s="7">
        <v>10</v>
      </c>
      <c r="I175" s="10">
        <f t="shared" si="9"/>
        <v>17.674089784376104</v>
      </c>
      <c r="J175" s="11">
        <v>0.18179999999999999</v>
      </c>
      <c r="K175" s="10">
        <f t="shared" si="11"/>
        <v>3.2131495227995757</v>
      </c>
      <c r="L175" s="21">
        <v>31776.400000000001</v>
      </c>
      <c r="M175" s="17">
        <f t="shared" si="10"/>
        <v>0.10210232449628844</v>
      </c>
      <c r="N175" s="8">
        <v>2.0699999999999998E-5</v>
      </c>
      <c r="O175" s="11">
        <v>3.84</v>
      </c>
      <c r="P175" s="7" t="s">
        <v>39</v>
      </c>
      <c r="Q175" s="11">
        <v>31.03</v>
      </c>
      <c r="R175" s="7">
        <v>30</v>
      </c>
      <c r="S175" s="7">
        <v>30</v>
      </c>
      <c r="T175" s="6"/>
      <c r="U175" s="6"/>
      <c r="V175" s="6"/>
    </row>
    <row r="176" spans="1:22" x14ac:dyDescent="0.25">
      <c r="A176" s="5" t="s">
        <v>49</v>
      </c>
      <c r="B176" s="5" t="s">
        <v>11</v>
      </c>
      <c r="C176" s="7">
        <v>2</v>
      </c>
      <c r="D176" s="7" t="s">
        <v>56</v>
      </c>
      <c r="E176" s="16">
        <v>1396318</v>
      </c>
      <c r="F176" s="16">
        <v>8273466</v>
      </c>
      <c r="G176" s="11">
        <v>181.22508155128671</v>
      </c>
      <c r="H176" s="7">
        <v>10</v>
      </c>
      <c r="I176" s="10">
        <f t="shared" si="9"/>
        <v>18.122508155128671</v>
      </c>
      <c r="J176" s="11">
        <v>0.16880000000000001</v>
      </c>
      <c r="K176" s="10">
        <f t="shared" si="11"/>
        <v>3.0590793765857196</v>
      </c>
      <c r="L176" s="21">
        <v>31776.400000000001</v>
      </c>
      <c r="M176" s="17">
        <f t="shared" si="10"/>
        <v>9.7206529902138475E-2</v>
      </c>
      <c r="N176" s="8">
        <v>2.1399999999999998E-5</v>
      </c>
      <c r="O176" s="11">
        <v>3.82</v>
      </c>
      <c r="P176" s="7" t="s">
        <v>39</v>
      </c>
      <c r="Q176" s="11">
        <v>31.35</v>
      </c>
      <c r="R176" s="7">
        <v>28</v>
      </c>
      <c r="S176" s="7">
        <v>28</v>
      </c>
      <c r="T176" s="6"/>
      <c r="U176" s="6"/>
      <c r="V176" s="6"/>
    </row>
    <row r="177" spans="1:22" x14ac:dyDescent="0.25">
      <c r="A177" s="5" t="s">
        <v>49</v>
      </c>
      <c r="B177" s="5" t="s">
        <v>11</v>
      </c>
      <c r="C177" s="7">
        <v>2</v>
      </c>
      <c r="D177" s="7" t="s">
        <v>57</v>
      </c>
      <c r="E177" s="16">
        <v>1407604</v>
      </c>
      <c r="F177" s="16">
        <v>7886988</v>
      </c>
      <c r="G177" s="11">
        <v>173.79214459506429</v>
      </c>
      <c r="H177" s="7">
        <v>10</v>
      </c>
      <c r="I177" s="10">
        <f t="shared" si="9"/>
        <v>17.379214459506429</v>
      </c>
      <c r="J177" s="11">
        <v>0.17849999999999999</v>
      </c>
      <c r="K177" s="10">
        <f t="shared" si="11"/>
        <v>3.1021897810218975</v>
      </c>
      <c r="L177" s="21">
        <v>31776.400000000001</v>
      </c>
      <c r="M177" s="17">
        <f t="shared" si="10"/>
        <v>9.8576423357664228E-2</v>
      </c>
      <c r="N177" s="8">
        <v>2.69E-5</v>
      </c>
      <c r="O177" s="11">
        <v>3.73</v>
      </c>
      <c r="P177" s="7" t="s">
        <v>39</v>
      </c>
      <c r="Q177" s="11">
        <v>31.28</v>
      </c>
      <c r="R177" s="7">
        <v>36</v>
      </c>
      <c r="S177" s="7">
        <v>36</v>
      </c>
      <c r="T177" s="6"/>
      <c r="U177" s="6"/>
      <c r="V177" s="6"/>
    </row>
    <row r="178" spans="1:22" x14ac:dyDescent="0.25">
      <c r="A178" s="5" t="s">
        <v>49</v>
      </c>
      <c r="B178" s="5" t="s">
        <v>67</v>
      </c>
      <c r="C178" s="7">
        <v>2</v>
      </c>
      <c r="D178" s="7" t="s">
        <v>54</v>
      </c>
      <c r="E178" s="16">
        <v>979263</v>
      </c>
      <c r="F178" s="16">
        <v>579677</v>
      </c>
      <c r="G178" s="11">
        <v>146.79976512037581</v>
      </c>
      <c r="H178" s="7">
        <v>100</v>
      </c>
      <c r="I178" s="10">
        <f t="shared" si="9"/>
        <v>1.467997651203758</v>
      </c>
      <c r="J178" s="11">
        <v>1.6893</v>
      </c>
      <c r="K178" s="10">
        <f t="shared" si="11"/>
        <v>2.4798884321785084</v>
      </c>
      <c r="L178" s="21">
        <v>31776.400000000001</v>
      </c>
      <c r="M178" s="17">
        <f t="shared" si="10"/>
        <v>7.8801926776277162E-2</v>
      </c>
      <c r="N178" s="8">
        <v>1.47E-4</v>
      </c>
      <c r="O178" s="11">
        <v>3.12</v>
      </c>
      <c r="P178" s="7" t="s">
        <v>39</v>
      </c>
      <c r="Q178" s="11">
        <v>31.3</v>
      </c>
      <c r="R178" s="7">
        <v>32</v>
      </c>
      <c r="S178" s="7">
        <v>32</v>
      </c>
      <c r="T178" s="6"/>
      <c r="U178" s="6"/>
      <c r="V178" s="6"/>
    </row>
    <row r="179" spans="1:22" x14ac:dyDescent="0.25">
      <c r="A179" s="5" t="s">
        <v>49</v>
      </c>
      <c r="B179" s="5" t="s">
        <v>67</v>
      </c>
      <c r="C179" s="7">
        <v>2</v>
      </c>
      <c r="D179" s="7" t="s">
        <v>55</v>
      </c>
      <c r="E179" s="16">
        <v>1301274</v>
      </c>
      <c r="F179" s="16">
        <v>798041</v>
      </c>
      <c r="G179" s="11">
        <v>176.74089784376105</v>
      </c>
      <c r="H179" s="7">
        <v>100</v>
      </c>
      <c r="I179" s="10">
        <f t="shared" si="9"/>
        <v>1.7674089784376106</v>
      </c>
      <c r="J179" s="11">
        <v>1.6306</v>
      </c>
      <c r="K179" s="10">
        <f t="shared" si="11"/>
        <v>2.8819370802403679</v>
      </c>
      <c r="L179" s="21">
        <v>31776.400000000001</v>
      </c>
      <c r="M179" s="17">
        <f t="shared" si="10"/>
        <v>9.1577585436550021E-2</v>
      </c>
      <c r="N179" s="8">
        <v>1.08E-4</v>
      </c>
      <c r="O179" s="11">
        <v>3.24</v>
      </c>
      <c r="P179" s="7" t="s">
        <v>39</v>
      </c>
      <c r="Q179" s="11">
        <v>31.21</v>
      </c>
      <c r="R179" s="7">
        <v>30</v>
      </c>
      <c r="S179" s="7">
        <v>30</v>
      </c>
      <c r="T179" s="6"/>
      <c r="U179" s="6"/>
      <c r="V179" s="6"/>
    </row>
    <row r="180" spans="1:22" x14ac:dyDescent="0.25">
      <c r="A180" s="5" t="s">
        <v>49</v>
      </c>
      <c r="B180" s="5" t="s">
        <v>67</v>
      </c>
      <c r="C180" s="7">
        <v>2</v>
      </c>
      <c r="D180" s="7" t="s">
        <v>56</v>
      </c>
      <c r="E180" s="16">
        <v>1470819</v>
      </c>
      <c r="F180" s="16">
        <v>959471</v>
      </c>
      <c r="G180" s="11">
        <v>181.22508155128671</v>
      </c>
      <c r="H180" s="7">
        <v>100</v>
      </c>
      <c r="I180" s="10">
        <f t="shared" si="9"/>
        <v>1.8122508155128672</v>
      </c>
      <c r="J180" s="11">
        <v>1.5328999999999999</v>
      </c>
      <c r="K180" s="10">
        <f t="shared" si="11"/>
        <v>2.777999275099674</v>
      </c>
      <c r="L180" s="21">
        <v>31776.400000000001</v>
      </c>
      <c r="M180" s="17">
        <f t="shared" si="10"/>
        <v>8.8274816165277284E-2</v>
      </c>
      <c r="N180" s="8">
        <v>9.1199999999999994E-5</v>
      </c>
      <c r="O180" s="11">
        <v>3.31</v>
      </c>
      <c r="P180" s="7" t="s">
        <v>39</v>
      </c>
      <c r="Q180" s="11">
        <v>31.63</v>
      </c>
      <c r="R180" s="7">
        <v>29</v>
      </c>
      <c r="S180" s="7">
        <v>29</v>
      </c>
      <c r="T180" s="6"/>
      <c r="U180" s="6"/>
      <c r="V180" s="6"/>
    </row>
    <row r="181" spans="1:22" x14ac:dyDescent="0.25">
      <c r="A181" s="5" t="s">
        <v>49</v>
      </c>
      <c r="B181" s="5" t="s">
        <v>67</v>
      </c>
      <c r="C181" s="7">
        <v>2</v>
      </c>
      <c r="D181" s="7" t="s">
        <v>57</v>
      </c>
      <c r="E181" s="16">
        <v>1065123</v>
      </c>
      <c r="F181" s="16">
        <v>633717</v>
      </c>
      <c r="G181" s="11">
        <v>173.79214459506429</v>
      </c>
      <c r="H181" s="7">
        <v>100</v>
      </c>
      <c r="I181" s="10">
        <f t="shared" si="9"/>
        <v>1.7379214459506429</v>
      </c>
      <c r="J181" s="11">
        <v>1.6808000000000001</v>
      </c>
      <c r="K181" s="10">
        <f t="shared" si="11"/>
        <v>2.9210983663538408</v>
      </c>
      <c r="L181" s="21">
        <v>31776.400000000001</v>
      </c>
      <c r="M181" s="17">
        <f t="shared" si="10"/>
        <v>9.2821990128606188E-2</v>
      </c>
      <c r="N181" s="8">
        <v>1.08E-4</v>
      </c>
      <c r="O181" s="11">
        <v>3.25</v>
      </c>
      <c r="P181" s="7" t="s">
        <v>39</v>
      </c>
      <c r="Q181" s="11">
        <v>31.43</v>
      </c>
      <c r="R181" s="7">
        <v>23</v>
      </c>
      <c r="S181" s="7">
        <v>23</v>
      </c>
      <c r="T181" s="6"/>
      <c r="U181" s="6"/>
      <c r="V181" s="6"/>
    </row>
    <row r="182" spans="1:22" x14ac:dyDescent="0.25">
      <c r="A182" s="5" t="s">
        <v>49</v>
      </c>
      <c r="B182" s="5" t="s">
        <v>2</v>
      </c>
      <c r="C182" s="7">
        <v>3</v>
      </c>
      <c r="D182" s="7" t="s">
        <v>54</v>
      </c>
      <c r="E182" s="16">
        <v>394809</v>
      </c>
      <c r="F182" s="16">
        <v>31393852</v>
      </c>
      <c r="G182" s="11">
        <v>146.79976512037581</v>
      </c>
      <c r="H182" s="7">
        <v>1</v>
      </c>
      <c r="I182" s="10">
        <f t="shared" si="9"/>
        <v>146.79976512037581</v>
      </c>
      <c r="J182" s="11">
        <v>1.26E-2</v>
      </c>
      <c r="K182" s="10">
        <f t="shared" ref="K182:K213" si="12">J182*I182</f>
        <v>1.8496770405167353</v>
      </c>
      <c r="L182" s="21">
        <v>31776.400000000001</v>
      </c>
      <c r="M182" s="17">
        <f t="shared" si="10"/>
        <v>5.8776077510275984E-2</v>
      </c>
      <c r="N182" s="8">
        <v>1.63E-4</v>
      </c>
      <c r="O182" s="11">
        <v>3.08</v>
      </c>
      <c r="P182" s="7" t="s">
        <v>39</v>
      </c>
      <c r="Q182" s="11">
        <v>43.43</v>
      </c>
      <c r="R182" s="7">
        <v>41</v>
      </c>
      <c r="S182" s="7">
        <v>41</v>
      </c>
      <c r="T182" s="6"/>
      <c r="U182" s="6"/>
      <c r="V182" s="6"/>
    </row>
    <row r="183" spans="1:22" x14ac:dyDescent="0.25">
      <c r="A183" s="5" t="s">
        <v>49</v>
      </c>
      <c r="B183" s="5" t="s">
        <v>2</v>
      </c>
      <c r="C183" s="7">
        <v>3</v>
      </c>
      <c r="D183" s="7" t="s">
        <v>55</v>
      </c>
      <c r="E183" s="16">
        <v>361703</v>
      </c>
      <c r="F183" s="16">
        <v>32973180</v>
      </c>
      <c r="G183" s="11">
        <v>176.74089784376105</v>
      </c>
      <c r="H183" s="7">
        <v>1</v>
      </c>
      <c r="I183" s="10">
        <f t="shared" si="9"/>
        <v>176.74089784376105</v>
      </c>
      <c r="J183" s="11">
        <v>1.0999999999999999E-2</v>
      </c>
      <c r="K183" s="10">
        <f t="shared" si="12"/>
        <v>1.9441498762813714</v>
      </c>
      <c r="L183" s="21">
        <v>31776.400000000001</v>
      </c>
      <c r="M183" s="17">
        <f t="shared" si="10"/>
        <v>6.1778084128667372E-2</v>
      </c>
      <c r="N183" s="8">
        <v>6.2299999999999996E-5</v>
      </c>
      <c r="O183" s="11">
        <v>3.45</v>
      </c>
      <c r="P183" s="7" t="s">
        <v>39</v>
      </c>
      <c r="Q183" s="11">
        <v>43.39</v>
      </c>
      <c r="R183" s="7">
        <v>32</v>
      </c>
      <c r="S183" s="7">
        <v>32</v>
      </c>
      <c r="T183" s="6"/>
      <c r="U183" s="6"/>
      <c r="V183" s="6"/>
    </row>
    <row r="184" spans="1:22" x14ac:dyDescent="0.25">
      <c r="A184" s="5" t="s">
        <v>49</v>
      </c>
      <c r="B184" s="5" t="s">
        <v>2</v>
      </c>
      <c r="C184" s="7">
        <v>3</v>
      </c>
      <c r="D184" s="7" t="s">
        <v>56</v>
      </c>
      <c r="E184" s="16">
        <v>262080</v>
      </c>
      <c r="F184" s="16">
        <v>26725520</v>
      </c>
      <c r="G184" s="11">
        <v>181.22508155128671</v>
      </c>
      <c r="H184" s="7">
        <v>1</v>
      </c>
      <c r="I184" s="10">
        <f t="shared" si="9"/>
        <v>181.22508155128671</v>
      </c>
      <c r="J184" s="11">
        <v>9.7999999999999997E-3</v>
      </c>
      <c r="K184" s="10">
        <f t="shared" si="12"/>
        <v>1.7760057992026097</v>
      </c>
      <c r="L184" s="21">
        <v>31776.400000000001</v>
      </c>
      <c r="M184" s="17">
        <f t="shared" si="10"/>
        <v>5.6435070677781814E-2</v>
      </c>
      <c r="N184" s="8">
        <v>1.6899999999999999E-4</v>
      </c>
      <c r="O184" s="11">
        <v>3.07</v>
      </c>
      <c r="P184" s="7" t="s">
        <v>39</v>
      </c>
      <c r="Q184" s="11">
        <v>43.43</v>
      </c>
      <c r="R184" s="7">
        <v>34</v>
      </c>
      <c r="S184" s="7">
        <v>34</v>
      </c>
      <c r="T184" s="6"/>
      <c r="U184" s="6"/>
      <c r="V184" s="6"/>
    </row>
    <row r="185" spans="1:22" x14ac:dyDescent="0.25">
      <c r="A185" s="5" t="s">
        <v>49</v>
      </c>
      <c r="B185" s="5" t="s">
        <v>2</v>
      </c>
      <c r="C185" s="7">
        <v>3</v>
      </c>
      <c r="D185" s="7" t="s">
        <v>57</v>
      </c>
      <c r="E185" s="16">
        <v>360391</v>
      </c>
      <c r="F185" s="16">
        <v>36189744</v>
      </c>
      <c r="G185" s="11">
        <v>173.79214459506429</v>
      </c>
      <c r="H185" s="7">
        <v>1</v>
      </c>
      <c r="I185" s="10">
        <f t="shared" si="9"/>
        <v>173.79214459506429</v>
      </c>
      <c r="J185" s="11">
        <v>0.01</v>
      </c>
      <c r="K185" s="10">
        <f t="shared" si="12"/>
        <v>1.7379214459506429</v>
      </c>
      <c r="L185" s="21">
        <v>31776.400000000001</v>
      </c>
      <c r="M185" s="17">
        <f t="shared" si="10"/>
        <v>5.5224887035106009E-2</v>
      </c>
      <c r="N185" s="8">
        <v>3.8899999999999997E-5</v>
      </c>
      <c r="O185" s="11">
        <v>3.61</v>
      </c>
      <c r="P185" s="7" t="s">
        <v>39</v>
      </c>
      <c r="Q185" s="11">
        <v>43.54</v>
      </c>
      <c r="R185" s="7">
        <v>34</v>
      </c>
      <c r="S185" s="7">
        <v>34</v>
      </c>
      <c r="T185" s="6"/>
      <c r="U185" s="6"/>
      <c r="V185" s="6"/>
    </row>
    <row r="186" spans="1:22" x14ac:dyDescent="0.25">
      <c r="A186" s="5" t="s">
        <v>49</v>
      </c>
      <c r="B186" s="5" t="s">
        <v>72</v>
      </c>
      <c r="C186" s="7">
        <v>3</v>
      </c>
      <c r="D186" s="7" t="s">
        <v>54</v>
      </c>
      <c r="E186" s="16">
        <v>319497</v>
      </c>
      <c r="F186" s="16">
        <v>2493564</v>
      </c>
      <c r="G186" s="11">
        <v>146.79976512037581</v>
      </c>
      <c r="H186" s="7">
        <v>10</v>
      </c>
      <c r="I186" s="10">
        <f t="shared" si="9"/>
        <v>14.67997651203758</v>
      </c>
      <c r="J186" s="11">
        <v>0.12809999999999999</v>
      </c>
      <c r="K186" s="10">
        <f t="shared" si="12"/>
        <v>1.880504991192014</v>
      </c>
      <c r="L186" s="21">
        <v>31776.400000000001</v>
      </c>
      <c r="M186" s="17">
        <f t="shared" si="10"/>
        <v>5.9755678802113917E-2</v>
      </c>
      <c r="N186" s="8">
        <v>6.0000000000000001E-3</v>
      </c>
      <c r="O186" s="11">
        <v>1.54</v>
      </c>
      <c r="P186" s="7" t="s">
        <v>39</v>
      </c>
      <c r="Q186" s="11">
        <v>43.26</v>
      </c>
      <c r="R186" s="7">
        <v>30</v>
      </c>
      <c r="S186" s="7">
        <v>30</v>
      </c>
      <c r="T186" s="6"/>
      <c r="U186" s="6"/>
      <c r="V186" s="6"/>
    </row>
    <row r="187" spans="1:22" x14ac:dyDescent="0.25">
      <c r="A187" s="5" t="s">
        <v>49</v>
      </c>
      <c r="B187" s="5" t="s">
        <v>72</v>
      </c>
      <c r="C187" s="7">
        <v>3</v>
      </c>
      <c r="D187" s="7" t="s">
        <v>55</v>
      </c>
      <c r="E187" s="16">
        <v>448803</v>
      </c>
      <c r="F187" s="16">
        <v>3585693</v>
      </c>
      <c r="G187" s="11">
        <v>176.74089784376105</v>
      </c>
      <c r="H187" s="7">
        <v>10</v>
      </c>
      <c r="I187" s="10">
        <f t="shared" si="9"/>
        <v>17.674089784376104</v>
      </c>
      <c r="J187" s="11">
        <v>0.12520000000000001</v>
      </c>
      <c r="K187" s="10">
        <f t="shared" si="12"/>
        <v>2.2127960410038883</v>
      </c>
      <c r="L187" s="21">
        <v>31776.400000000001</v>
      </c>
      <c r="M187" s="17">
        <f t="shared" si="10"/>
        <v>7.0314692117355956E-2</v>
      </c>
      <c r="N187" s="8">
        <v>1.89E-3</v>
      </c>
      <c r="O187" s="11">
        <v>2.1</v>
      </c>
      <c r="P187" s="7" t="s">
        <v>39</v>
      </c>
      <c r="Q187" s="11">
        <v>43.03</v>
      </c>
      <c r="R187" s="7">
        <v>28</v>
      </c>
      <c r="S187" s="7">
        <v>28</v>
      </c>
      <c r="T187" s="6"/>
      <c r="U187" s="6"/>
      <c r="V187" s="6"/>
    </row>
    <row r="188" spans="1:22" x14ac:dyDescent="0.25">
      <c r="A188" s="5" t="s">
        <v>49</v>
      </c>
      <c r="B188" s="5" t="s">
        <v>72</v>
      </c>
      <c r="C188" s="7">
        <v>3</v>
      </c>
      <c r="D188" s="7" t="s">
        <v>56</v>
      </c>
      <c r="E188" s="16">
        <v>531726</v>
      </c>
      <c r="F188" s="16">
        <v>4592235</v>
      </c>
      <c r="G188" s="11">
        <v>181.22508155128671</v>
      </c>
      <c r="H188" s="7">
        <v>10</v>
      </c>
      <c r="I188" s="10">
        <f t="shared" si="9"/>
        <v>18.122508155128671</v>
      </c>
      <c r="J188" s="11">
        <v>0.1158</v>
      </c>
      <c r="K188" s="10">
        <f t="shared" si="12"/>
        <v>2.0985864443639</v>
      </c>
      <c r="L188" s="21">
        <v>31776.400000000001</v>
      </c>
      <c r="M188" s="17">
        <f t="shared" si="10"/>
        <v>6.6685522290685043E-2</v>
      </c>
      <c r="N188" s="8">
        <v>1.09E-3</v>
      </c>
      <c r="O188" s="11">
        <v>2.33</v>
      </c>
      <c r="P188" s="7" t="s">
        <v>39</v>
      </c>
      <c r="Q188" s="11">
        <v>43.39</v>
      </c>
      <c r="R188" s="7">
        <v>31</v>
      </c>
      <c r="S188" s="7">
        <v>31</v>
      </c>
      <c r="T188" s="6"/>
      <c r="U188" s="6"/>
      <c r="V188" s="6"/>
    </row>
    <row r="189" spans="1:22" x14ac:dyDescent="0.25">
      <c r="A189" s="5" t="s">
        <v>49</v>
      </c>
      <c r="B189" s="5" t="s">
        <v>72</v>
      </c>
      <c r="C189" s="7">
        <v>3</v>
      </c>
      <c r="D189" s="7" t="s">
        <v>57</v>
      </c>
      <c r="E189" s="16">
        <v>345988</v>
      </c>
      <c r="F189" s="16">
        <v>3333260</v>
      </c>
      <c r="G189" s="11">
        <v>173.79214459506429</v>
      </c>
      <c r="H189" s="7">
        <v>10</v>
      </c>
      <c r="I189" s="10">
        <f t="shared" si="9"/>
        <v>17.379214459506429</v>
      </c>
      <c r="J189" s="11">
        <v>0.1038</v>
      </c>
      <c r="K189" s="10">
        <f t="shared" si="12"/>
        <v>1.8039624608967673</v>
      </c>
      <c r="L189" s="21">
        <v>31776.400000000001</v>
      </c>
      <c r="M189" s="17">
        <f t="shared" si="10"/>
        <v>5.7323432742440041E-2</v>
      </c>
      <c r="N189" s="8">
        <v>8.6499999999999999E-4</v>
      </c>
      <c r="O189" s="11">
        <v>2.4300000000000002</v>
      </c>
      <c r="P189" s="7" t="s">
        <v>39</v>
      </c>
      <c r="Q189" s="11">
        <v>43.47</v>
      </c>
      <c r="R189" s="7">
        <v>29</v>
      </c>
      <c r="S189" s="7">
        <v>29</v>
      </c>
      <c r="T189" s="6"/>
      <c r="U189" s="6"/>
      <c r="V189" s="6"/>
    </row>
    <row r="190" spans="1:22" x14ac:dyDescent="0.25">
      <c r="A190" s="5" t="s">
        <v>49</v>
      </c>
      <c r="B190" s="5" t="s">
        <v>2</v>
      </c>
      <c r="C190" s="7">
        <v>3</v>
      </c>
      <c r="D190" s="7" t="s">
        <v>54</v>
      </c>
      <c r="E190" s="16">
        <v>334435</v>
      </c>
      <c r="F190" s="16">
        <v>246345</v>
      </c>
      <c r="G190" s="11">
        <v>146.79976512037581</v>
      </c>
      <c r="H190" s="7">
        <v>100</v>
      </c>
      <c r="I190" s="10">
        <f t="shared" si="9"/>
        <v>1.467997651203758</v>
      </c>
      <c r="J190" s="11">
        <v>1.3575999999999999</v>
      </c>
      <c r="K190" s="10">
        <f t="shared" si="12"/>
        <v>1.9929536112742219</v>
      </c>
      <c r="L190" s="21">
        <v>31776.400000000001</v>
      </c>
      <c r="M190" s="17">
        <f t="shared" si="10"/>
        <v>6.332889113329418E-2</v>
      </c>
      <c r="N190" s="8">
        <v>7.0899999999999999E-3</v>
      </c>
      <c r="O190" s="11">
        <v>1.45</v>
      </c>
      <c r="P190" s="7" t="s">
        <v>39</v>
      </c>
      <c r="Q190" s="11">
        <v>43.26</v>
      </c>
      <c r="R190" s="7">
        <v>31</v>
      </c>
      <c r="S190" s="7">
        <v>31</v>
      </c>
      <c r="T190" s="6"/>
      <c r="U190" s="6"/>
      <c r="V190" s="6"/>
    </row>
    <row r="191" spans="1:22" x14ac:dyDescent="0.25">
      <c r="A191" s="5" t="s">
        <v>49</v>
      </c>
      <c r="B191" s="5" t="s">
        <v>2</v>
      </c>
      <c r="C191" s="7">
        <v>3</v>
      </c>
      <c r="D191" s="7" t="s">
        <v>55</v>
      </c>
      <c r="E191" s="16">
        <v>344597</v>
      </c>
      <c r="F191" s="16">
        <v>266720</v>
      </c>
      <c r="G191" s="11">
        <v>176.74089784376105</v>
      </c>
      <c r="H191" s="7">
        <v>100</v>
      </c>
      <c r="I191" s="10">
        <f t="shared" si="9"/>
        <v>1.7674089784376106</v>
      </c>
      <c r="J191" s="11">
        <v>1.292</v>
      </c>
      <c r="K191" s="10">
        <f t="shared" si="12"/>
        <v>2.2834924001413928</v>
      </c>
      <c r="L191" s="21">
        <v>31776.400000000001</v>
      </c>
      <c r="M191" s="17">
        <f t="shared" si="10"/>
        <v>7.2561167903852961E-2</v>
      </c>
      <c r="N191" s="8">
        <v>3.3400000000000001E-3</v>
      </c>
      <c r="O191" s="11">
        <v>1.84</v>
      </c>
      <c r="P191" s="7" t="s">
        <v>40</v>
      </c>
      <c r="Q191" s="11">
        <v>43.03</v>
      </c>
      <c r="R191" s="7">
        <v>24</v>
      </c>
      <c r="S191" s="7">
        <v>24</v>
      </c>
      <c r="T191" s="6"/>
      <c r="U191" s="6"/>
      <c r="V191" s="6"/>
    </row>
    <row r="192" spans="1:22" x14ac:dyDescent="0.25">
      <c r="A192" s="5" t="s">
        <v>49</v>
      </c>
      <c r="B192" s="5" t="s">
        <v>2</v>
      </c>
      <c r="C192" s="7">
        <v>3</v>
      </c>
      <c r="D192" s="7" t="s">
        <v>56</v>
      </c>
      <c r="E192" s="16">
        <v>414303</v>
      </c>
      <c r="F192" s="16">
        <v>304577</v>
      </c>
      <c r="G192" s="11">
        <v>181.22508155128671</v>
      </c>
      <c r="H192" s="7">
        <v>100</v>
      </c>
      <c r="I192" s="10">
        <f t="shared" si="9"/>
        <v>1.8122508155128672</v>
      </c>
      <c r="J192" s="11">
        <v>1.3603000000000001</v>
      </c>
      <c r="K192" s="10">
        <f t="shared" si="12"/>
        <v>2.4652047843421534</v>
      </c>
      <c r="L192" s="21">
        <v>31776.400000000001</v>
      </c>
      <c r="M192" s="17">
        <f t="shared" si="10"/>
        <v>7.8335333309170002E-2</v>
      </c>
      <c r="N192" s="8">
        <v>5.8100000000000001E-3</v>
      </c>
      <c r="O192" s="11">
        <v>1.55</v>
      </c>
      <c r="P192" s="7" t="s">
        <v>40</v>
      </c>
      <c r="Q192" s="11">
        <v>43.39</v>
      </c>
      <c r="R192" s="7">
        <v>19</v>
      </c>
      <c r="S192" s="7">
        <v>19</v>
      </c>
      <c r="T192" s="6"/>
      <c r="U192" s="6"/>
      <c r="V192" s="6"/>
    </row>
    <row r="193" spans="1:22" x14ac:dyDescent="0.25">
      <c r="A193" s="5" t="s">
        <v>49</v>
      </c>
      <c r="B193" s="5" t="s">
        <v>2</v>
      </c>
      <c r="C193" s="7">
        <v>3</v>
      </c>
      <c r="D193" s="7" t="s">
        <v>57</v>
      </c>
      <c r="E193" s="16">
        <v>260023</v>
      </c>
      <c r="F193" s="16">
        <v>302084</v>
      </c>
      <c r="G193" s="11">
        <v>173.79214459506429</v>
      </c>
      <c r="H193" s="7">
        <v>100</v>
      </c>
      <c r="I193" s="10">
        <f t="shared" si="9"/>
        <v>1.7379214459506429</v>
      </c>
      <c r="J193" s="11">
        <v>0.86080000000000001</v>
      </c>
      <c r="K193" s="10">
        <f t="shared" si="12"/>
        <v>1.4960027806743135</v>
      </c>
      <c r="L193" s="21">
        <v>31776.400000000001</v>
      </c>
      <c r="M193" s="17">
        <f t="shared" si="10"/>
        <v>4.7537582759819258E-2</v>
      </c>
      <c r="N193" s="8">
        <v>4.2100000000000002E-3</v>
      </c>
      <c r="O193" s="11">
        <v>1.72</v>
      </c>
      <c r="P193" s="7" t="s">
        <v>39</v>
      </c>
      <c r="Q193" s="11">
        <v>43.47</v>
      </c>
      <c r="R193" s="7">
        <v>22</v>
      </c>
      <c r="S193" s="7">
        <v>22</v>
      </c>
      <c r="T193" s="6"/>
      <c r="U193" s="6"/>
      <c r="V193" s="6"/>
    </row>
    <row r="194" spans="1:22" x14ac:dyDescent="0.25">
      <c r="A194" s="5" t="s">
        <v>25</v>
      </c>
      <c r="B194" s="5" t="s">
        <v>19</v>
      </c>
      <c r="C194" s="7">
        <v>2</v>
      </c>
      <c r="D194" s="7" t="s">
        <v>54</v>
      </c>
      <c r="E194" s="16">
        <v>29904026</v>
      </c>
      <c r="F194" s="16">
        <v>100216640</v>
      </c>
      <c r="G194" s="11">
        <v>146.79976512037581</v>
      </c>
      <c r="H194" s="7">
        <v>1</v>
      </c>
      <c r="I194" s="10">
        <f t="shared" ref="I194:I209" si="13">G194/H194</f>
        <v>146.79976512037581</v>
      </c>
      <c r="J194" s="11">
        <v>0.2984</v>
      </c>
      <c r="K194" s="10">
        <f t="shared" ref="K194:K201" si="14">J194*I194</f>
        <v>43.805049911920143</v>
      </c>
      <c r="L194" s="21">
        <v>22575.85</v>
      </c>
      <c r="M194" s="17">
        <f t="shared" ref="M194:M217" si="15">L194*K194/1000000</f>
        <v>0.98893623605402237</v>
      </c>
      <c r="N194" s="8">
        <v>2.04E-7</v>
      </c>
      <c r="O194" s="11">
        <v>5.35</v>
      </c>
      <c r="P194" s="7" t="s">
        <v>39</v>
      </c>
      <c r="Q194" s="11">
        <v>31.25</v>
      </c>
      <c r="R194" s="7">
        <v>32</v>
      </c>
      <c r="S194" s="9">
        <v>33</v>
      </c>
      <c r="T194" s="6"/>
      <c r="U194" s="6"/>
      <c r="V194" s="6"/>
    </row>
    <row r="195" spans="1:22" x14ac:dyDescent="0.25">
      <c r="A195" s="5" t="s">
        <v>25</v>
      </c>
      <c r="B195" s="5" t="s">
        <v>19</v>
      </c>
      <c r="C195" s="7">
        <v>2</v>
      </c>
      <c r="D195" s="7" t="s">
        <v>55</v>
      </c>
      <c r="E195" s="16">
        <v>35648052</v>
      </c>
      <c r="F195" s="16">
        <v>125013376</v>
      </c>
      <c r="G195" s="11">
        <v>176.74089784376105</v>
      </c>
      <c r="H195" s="7">
        <v>1</v>
      </c>
      <c r="I195" s="10">
        <f t="shared" si="13"/>
        <v>176.74089784376105</v>
      </c>
      <c r="J195" s="11">
        <v>0.28520000000000001</v>
      </c>
      <c r="K195" s="10">
        <f t="shared" si="14"/>
        <v>50.40650406504065</v>
      </c>
      <c r="L195" s="21">
        <v>22575.85</v>
      </c>
      <c r="M195" s="17">
        <f t="shared" si="15"/>
        <v>1.137969674796748</v>
      </c>
      <c r="N195" s="8">
        <v>1.7800000000000001E-7</v>
      </c>
      <c r="O195" s="11">
        <v>5.41</v>
      </c>
      <c r="P195" s="7" t="s">
        <v>39</v>
      </c>
      <c r="Q195" s="11">
        <v>31</v>
      </c>
      <c r="R195" s="7">
        <v>61</v>
      </c>
      <c r="S195" s="9">
        <v>62</v>
      </c>
      <c r="T195" s="6"/>
      <c r="U195" s="6"/>
      <c r="V195" s="6"/>
    </row>
    <row r="196" spans="1:22" x14ac:dyDescent="0.25">
      <c r="A196" s="5" t="s">
        <v>25</v>
      </c>
      <c r="B196" s="5" t="s">
        <v>19</v>
      </c>
      <c r="C196" s="7">
        <v>2</v>
      </c>
      <c r="D196" s="7" t="s">
        <v>56</v>
      </c>
      <c r="E196" s="16">
        <v>30929512</v>
      </c>
      <c r="F196" s="16">
        <v>102175160</v>
      </c>
      <c r="G196" s="11">
        <v>181.22508155128671</v>
      </c>
      <c r="H196" s="7">
        <v>1</v>
      </c>
      <c r="I196" s="10">
        <f t="shared" si="13"/>
        <v>181.22508155128671</v>
      </c>
      <c r="J196" s="11">
        <v>0.30270000000000002</v>
      </c>
      <c r="K196" s="10">
        <f t="shared" si="14"/>
        <v>54.85683218557449</v>
      </c>
      <c r="L196" s="21">
        <v>22575.85</v>
      </c>
      <c r="M196" s="17">
        <f t="shared" si="15"/>
        <v>1.2384396148967018</v>
      </c>
      <c r="N196" s="8">
        <v>2.2499999999999999E-7</v>
      </c>
      <c r="O196" s="11">
        <v>5.31</v>
      </c>
      <c r="P196" s="7" t="s">
        <v>39</v>
      </c>
      <c r="Q196" s="11">
        <v>31.09</v>
      </c>
      <c r="R196" s="7">
        <v>49</v>
      </c>
      <c r="S196" s="7">
        <v>49</v>
      </c>
      <c r="T196" s="6"/>
      <c r="U196" s="6"/>
      <c r="V196" s="6"/>
    </row>
    <row r="197" spans="1:22" x14ac:dyDescent="0.25">
      <c r="A197" s="5" t="s">
        <v>25</v>
      </c>
      <c r="B197" s="5" t="s">
        <v>19</v>
      </c>
      <c r="C197" s="7">
        <v>2</v>
      </c>
      <c r="D197" s="7" t="s">
        <v>57</v>
      </c>
      <c r="E197" s="16">
        <v>28702976</v>
      </c>
      <c r="F197" s="16">
        <v>96681904</v>
      </c>
      <c r="G197" s="11">
        <v>173.79214459506429</v>
      </c>
      <c r="H197" s="7">
        <v>1</v>
      </c>
      <c r="I197" s="10">
        <f t="shared" si="13"/>
        <v>173.79214459506429</v>
      </c>
      <c r="J197" s="11">
        <v>0.2969</v>
      </c>
      <c r="K197" s="10">
        <f t="shared" si="14"/>
        <v>51.598887730274583</v>
      </c>
      <c r="L197" s="21">
        <v>22575.85</v>
      </c>
      <c r="M197" s="17">
        <f t="shared" si="15"/>
        <v>1.1648887495655194</v>
      </c>
      <c r="N197" s="8">
        <v>2.3999999999999998E-7</v>
      </c>
      <c r="O197" s="11">
        <v>5.27</v>
      </c>
      <c r="P197" s="7" t="s">
        <v>39</v>
      </c>
      <c r="Q197" s="11">
        <v>31.4</v>
      </c>
      <c r="R197" s="7">
        <v>20</v>
      </c>
      <c r="S197" s="7">
        <v>20</v>
      </c>
      <c r="T197" s="6"/>
      <c r="U197" s="6"/>
      <c r="V197" s="6"/>
    </row>
    <row r="198" spans="1:22" x14ac:dyDescent="0.25">
      <c r="A198" s="5" t="s">
        <v>25</v>
      </c>
      <c r="B198" s="5" t="s">
        <v>68</v>
      </c>
      <c r="C198" s="7">
        <v>2</v>
      </c>
      <c r="D198" s="7" t="s">
        <v>54</v>
      </c>
      <c r="E198" s="16">
        <v>41938856</v>
      </c>
      <c r="F198" s="16">
        <v>11470730</v>
      </c>
      <c r="G198" s="11">
        <v>146.79976512037581</v>
      </c>
      <c r="H198" s="7">
        <v>10</v>
      </c>
      <c r="I198" s="10">
        <f t="shared" si="13"/>
        <v>14.67997651203758</v>
      </c>
      <c r="J198" s="11">
        <v>3.6562000000000001</v>
      </c>
      <c r="K198" s="10">
        <f t="shared" si="14"/>
        <v>53.672930123311801</v>
      </c>
      <c r="L198" s="21">
        <v>22575.85</v>
      </c>
      <c r="M198" s="17">
        <f t="shared" si="15"/>
        <v>1.2117120195243687</v>
      </c>
      <c r="N198" s="8">
        <v>8.6799999999999999E-7</v>
      </c>
      <c r="O198" s="11">
        <v>4.82</v>
      </c>
      <c r="P198" s="7" t="s">
        <v>39</v>
      </c>
      <c r="Q198" s="11">
        <v>31.02</v>
      </c>
      <c r="R198" s="7">
        <v>57</v>
      </c>
      <c r="S198" s="9">
        <v>58</v>
      </c>
      <c r="T198" s="6"/>
      <c r="U198" s="6"/>
      <c r="V198" s="6"/>
    </row>
    <row r="199" spans="1:22" x14ac:dyDescent="0.25">
      <c r="A199" s="5" t="s">
        <v>25</v>
      </c>
      <c r="B199" s="5" t="s">
        <v>68</v>
      </c>
      <c r="C199" s="7">
        <v>2</v>
      </c>
      <c r="D199" s="7" t="s">
        <v>55</v>
      </c>
      <c r="E199" s="16">
        <v>56332000</v>
      </c>
      <c r="F199" s="16">
        <v>14872156</v>
      </c>
      <c r="G199" s="11">
        <v>176.74089784376105</v>
      </c>
      <c r="H199" s="7">
        <v>10</v>
      </c>
      <c r="I199" s="10">
        <f t="shared" si="13"/>
        <v>17.674089784376104</v>
      </c>
      <c r="J199" s="11">
        <v>3.7877000000000001</v>
      </c>
      <c r="K199" s="10">
        <f t="shared" si="14"/>
        <v>66.944149876281372</v>
      </c>
      <c r="L199" s="21">
        <v>22575.85</v>
      </c>
      <c r="M199" s="17">
        <f t="shared" si="15"/>
        <v>1.5113210859844468</v>
      </c>
      <c r="N199" s="8">
        <v>4.8100000000000003E-7</v>
      </c>
      <c r="O199" s="11">
        <v>4.96</v>
      </c>
      <c r="P199" s="7" t="s">
        <v>39</v>
      </c>
      <c r="Q199" s="11">
        <v>30.74</v>
      </c>
      <c r="R199" s="7">
        <v>63</v>
      </c>
      <c r="S199" s="7">
        <v>63</v>
      </c>
      <c r="T199" s="6"/>
      <c r="U199" s="6"/>
      <c r="V199" s="6"/>
    </row>
    <row r="200" spans="1:22" x14ac:dyDescent="0.25">
      <c r="A200" s="5" t="s">
        <v>25</v>
      </c>
      <c r="B200" s="5" t="s">
        <v>68</v>
      </c>
      <c r="C200" s="7">
        <v>2</v>
      </c>
      <c r="D200" s="7" t="s">
        <v>56</v>
      </c>
      <c r="E200" s="16">
        <v>57131160</v>
      </c>
      <c r="F200" s="16">
        <v>16158865</v>
      </c>
      <c r="G200" s="11">
        <v>181.22508155128671</v>
      </c>
      <c r="H200" s="7">
        <v>10</v>
      </c>
      <c r="I200" s="10">
        <f t="shared" si="13"/>
        <v>18.122508155128671</v>
      </c>
      <c r="J200" s="11">
        <v>3.5356000000000001</v>
      </c>
      <c r="K200" s="10">
        <f t="shared" si="14"/>
        <v>64.073939833272931</v>
      </c>
      <c r="L200" s="21">
        <v>22575.85</v>
      </c>
      <c r="M200" s="17">
        <f t="shared" si="15"/>
        <v>1.4465236545849944</v>
      </c>
      <c r="N200" s="8">
        <v>4.8100000000000003E-7</v>
      </c>
      <c r="O200" s="11">
        <v>4.9800000000000004</v>
      </c>
      <c r="P200" s="7" t="s">
        <v>39</v>
      </c>
      <c r="Q200" s="11">
        <v>31.1</v>
      </c>
      <c r="R200" s="7">
        <v>47</v>
      </c>
      <c r="S200" s="9">
        <v>48</v>
      </c>
      <c r="T200" s="6"/>
      <c r="U200" s="6"/>
      <c r="V200" s="6"/>
    </row>
    <row r="201" spans="1:22" x14ac:dyDescent="0.25">
      <c r="A201" s="5" t="s">
        <v>25</v>
      </c>
      <c r="B201" s="5" t="s">
        <v>68</v>
      </c>
      <c r="C201" s="7">
        <v>2</v>
      </c>
      <c r="D201" s="7" t="s">
        <v>57</v>
      </c>
      <c r="E201" s="16">
        <v>49084600</v>
      </c>
      <c r="F201" s="16">
        <v>13765388</v>
      </c>
      <c r="G201" s="11">
        <v>173.79214459506429</v>
      </c>
      <c r="H201" s="7">
        <v>10</v>
      </c>
      <c r="I201" s="10">
        <f t="shared" si="13"/>
        <v>17.379214459506429</v>
      </c>
      <c r="J201" s="11">
        <v>3.5657999999999999</v>
      </c>
      <c r="K201" s="10">
        <f t="shared" si="14"/>
        <v>61.970802919708021</v>
      </c>
      <c r="L201" s="21">
        <v>22575.85</v>
      </c>
      <c r="M201" s="17">
        <f t="shared" si="15"/>
        <v>1.3990435510948904</v>
      </c>
      <c r="N201" s="8">
        <v>7.6599999999999995E-7</v>
      </c>
      <c r="O201" s="11">
        <v>4.8499999999999996</v>
      </c>
      <c r="P201" s="7" t="s">
        <v>39</v>
      </c>
      <c r="Q201" s="11">
        <v>30.98</v>
      </c>
      <c r="R201" s="7">
        <v>63</v>
      </c>
      <c r="S201" s="9">
        <v>64</v>
      </c>
      <c r="T201" s="6"/>
      <c r="U201" s="6"/>
      <c r="V201" s="6"/>
    </row>
    <row r="202" spans="1:22" x14ac:dyDescent="0.25">
      <c r="A202" s="5" t="s">
        <v>25</v>
      </c>
      <c r="B202" s="5" t="s">
        <v>19</v>
      </c>
      <c r="C202" s="7">
        <v>2</v>
      </c>
      <c r="D202" s="7" t="s">
        <v>54</v>
      </c>
      <c r="E202" s="16">
        <v>46221604</v>
      </c>
      <c r="F202" s="16">
        <v>1167737</v>
      </c>
      <c r="G202" s="11">
        <v>146.79976512037581</v>
      </c>
      <c r="H202" s="7">
        <v>100</v>
      </c>
      <c r="I202" s="10">
        <f t="shared" si="13"/>
        <v>1.467997651203758</v>
      </c>
      <c r="J202" s="11">
        <v>39.5822</v>
      </c>
      <c r="K202" s="10">
        <f t="shared" si="12"/>
        <v>58.106576629477388</v>
      </c>
      <c r="L202" s="21">
        <v>22575.85</v>
      </c>
      <c r="M202" s="17">
        <f t="shared" si="15"/>
        <v>1.3118053580005871</v>
      </c>
      <c r="N202" s="8">
        <v>3.3900000000000002E-6</v>
      </c>
      <c r="O202" s="11">
        <v>4.43</v>
      </c>
      <c r="P202" s="7" t="s">
        <v>39</v>
      </c>
      <c r="Q202" s="11">
        <v>30.94</v>
      </c>
      <c r="R202" s="7">
        <v>67</v>
      </c>
      <c r="S202" s="7">
        <v>67</v>
      </c>
      <c r="T202" s="6"/>
      <c r="U202" s="6"/>
      <c r="V202" s="6"/>
    </row>
    <row r="203" spans="1:22" x14ac:dyDescent="0.25">
      <c r="A203" s="5" t="s">
        <v>25</v>
      </c>
      <c r="B203" s="5" t="s">
        <v>19</v>
      </c>
      <c r="C203" s="7">
        <v>2</v>
      </c>
      <c r="D203" s="7" t="s">
        <v>55</v>
      </c>
      <c r="E203" s="16">
        <v>46967384</v>
      </c>
      <c r="F203" s="16">
        <v>1409637</v>
      </c>
      <c r="G203" s="11">
        <v>176.74089784376105</v>
      </c>
      <c r="H203" s="7">
        <v>100</v>
      </c>
      <c r="I203" s="10">
        <f t="shared" si="13"/>
        <v>1.7674089784376106</v>
      </c>
      <c r="J203" s="11">
        <v>33.318800000000003</v>
      </c>
      <c r="K203" s="10">
        <f t="shared" si="12"/>
        <v>58.887946270767067</v>
      </c>
      <c r="L203" s="21">
        <v>22575.85</v>
      </c>
      <c r="M203" s="17">
        <f t="shared" si="15"/>
        <v>1.3294454418168966</v>
      </c>
      <c r="N203" s="8">
        <v>3.4999999999999999E-6</v>
      </c>
      <c r="O203" s="11">
        <v>4.41</v>
      </c>
      <c r="P203" s="7" t="s">
        <v>39</v>
      </c>
      <c r="Q203" s="11">
        <v>31.04</v>
      </c>
      <c r="R203" s="7">
        <v>56</v>
      </c>
      <c r="S203" s="9">
        <v>57</v>
      </c>
      <c r="T203" s="6"/>
      <c r="U203" s="6"/>
      <c r="V203" s="6"/>
    </row>
    <row r="204" spans="1:22" x14ac:dyDescent="0.25">
      <c r="A204" s="5" t="s">
        <v>25</v>
      </c>
      <c r="B204" s="5" t="s">
        <v>19</v>
      </c>
      <c r="C204" s="7">
        <v>2</v>
      </c>
      <c r="D204" s="7" t="s">
        <v>56</v>
      </c>
      <c r="E204" s="16">
        <v>57608600</v>
      </c>
      <c r="F204" s="16">
        <v>1689244</v>
      </c>
      <c r="G204" s="11">
        <v>181.22508155128671</v>
      </c>
      <c r="H204" s="7">
        <v>100</v>
      </c>
      <c r="I204" s="10">
        <f t="shared" si="13"/>
        <v>1.8122508155128672</v>
      </c>
      <c r="J204" s="11">
        <v>34.103200000000001</v>
      </c>
      <c r="K204" s="10">
        <f t="shared" si="12"/>
        <v>61.803552011598413</v>
      </c>
      <c r="L204" s="21">
        <v>22575.85</v>
      </c>
      <c r="M204" s="17">
        <f t="shared" si="15"/>
        <v>1.3952677196810439</v>
      </c>
      <c r="N204" s="8">
        <v>2.9299999999999999E-6</v>
      </c>
      <c r="O204" s="11">
        <v>4.47</v>
      </c>
      <c r="P204" s="7" t="s">
        <v>39</v>
      </c>
      <c r="Q204" s="11">
        <v>31.4</v>
      </c>
      <c r="R204" s="7">
        <v>22</v>
      </c>
      <c r="S204" s="7">
        <v>22</v>
      </c>
      <c r="T204" s="6"/>
      <c r="U204" s="6"/>
      <c r="V204" s="6"/>
    </row>
    <row r="205" spans="1:22" x14ac:dyDescent="0.25">
      <c r="A205" s="5" t="s">
        <v>25</v>
      </c>
      <c r="B205" s="5" t="s">
        <v>19</v>
      </c>
      <c r="C205" s="7">
        <v>2</v>
      </c>
      <c r="D205" s="7" t="s">
        <v>57</v>
      </c>
      <c r="E205" s="16">
        <v>45771632</v>
      </c>
      <c r="F205" s="16">
        <v>1372352</v>
      </c>
      <c r="G205" s="11">
        <v>173.79214459506429</v>
      </c>
      <c r="H205" s="7">
        <v>100</v>
      </c>
      <c r="I205" s="10">
        <f t="shared" si="13"/>
        <v>1.7379214459506429</v>
      </c>
      <c r="J205" s="11">
        <v>33.352699999999999</v>
      </c>
      <c r="K205" s="10">
        <f t="shared" si="12"/>
        <v>57.964372610358005</v>
      </c>
      <c r="L205" s="21">
        <v>22575.85</v>
      </c>
      <c r="M205" s="17">
        <f t="shared" si="15"/>
        <v>1.3085949813955509</v>
      </c>
      <c r="N205" s="8">
        <v>3.9700000000000001E-6</v>
      </c>
      <c r="O205" s="11">
        <v>4.3499999999999996</v>
      </c>
      <c r="P205" s="7" t="s">
        <v>39</v>
      </c>
      <c r="Q205" s="11">
        <v>31.04</v>
      </c>
      <c r="R205" s="7">
        <v>53</v>
      </c>
      <c r="S205" s="9">
        <v>54</v>
      </c>
      <c r="T205" s="6"/>
      <c r="U205" s="6"/>
      <c r="V205" s="6"/>
    </row>
    <row r="206" spans="1:22" x14ac:dyDescent="0.25">
      <c r="A206" s="5" t="s">
        <v>25</v>
      </c>
      <c r="B206" s="5" t="s">
        <v>0</v>
      </c>
      <c r="C206" s="7">
        <v>2</v>
      </c>
      <c r="D206" s="7" t="s">
        <v>54</v>
      </c>
      <c r="E206" s="16">
        <v>1328443</v>
      </c>
      <c r="F206" s="16">
        <v>13888901</v>
      </c>
      <c r="G206" s="11">
        <v>146.79976512037581</v>
      </c>
      <c r="H206" s="7">
        <v>1</v>
      </c>
      <c r="I206" s="10">
        <f t="shared" si="13"/>
        <v>146.79976512037581</v>
      </c>
      <c r="J206" s="11">
        <v>9.5600000000000004E-2</v>
      </c>
      <c r="K206" s="10">
        <f t="shared" si="12"/>
        <v>14.034057545507928</v>
      </c>
      <c r="L206" s="21">
        <v>22575.85</v>
      </c>
      <c r="M206" s="17">
        <f t="shared" si="15"/>
        <v>0.31683077803875509</v>
      </c>
      <c r="N206" s="8">
        <v>6.02E-6</v>
      </c>
      <c r="O206" s="11">
        <v>4.2300000000000004</v>
      </c>
      <c r="P206" s="7" t="s">
        <v>39</v>
      </c>
      <c r="Q206" s="11">
        <v>41.97</v>
      </c>
      <c r="R206" s="7">
        <v>21</v>
      </c>
      <c r="S206" s="7">
        <v>21</v>
      </c>
      <c r="T206" s="6"/>
      <c r="U206" s="6"/>
      <c r="V206" s="6"/>
    </row>
    <row r="207" spans="1:22" x14ac:dyDescent="0.25">
      <c r="A207" s="5" t="s">
        <v>25</v>
      </c>
      <c r="B207" s="5" t="s">
        <v>0</v>
      </c>
      <c r="C207" s="7">
        <v>2</v>
      </c>
      <c r="D207" s="7" t="s">
        <v>55</v>
      </c>
      <c r="E207" s="16">
        <v>1352985</v>
      </c>
      <c r="F207" s="16">
        <v>14644244</v>
      </c>
      <c r="G207" s="11">
        <v>176.74089784376105</v>
      </c>
      <c r="H207" s="7">
        <v>1</v>
      </c>
      <c r="I207" s="10">
        <f t="shared" si="13"/>
        <v>176.74089784376105</v>
      </c>
      <c r="J207" s="11">
        <v>9.2399999999999996E-2</v>
      </c>
      <c r="K207" s="10">
        <f t="shared" si="12"/>
        <v>16.330858960763521</v>
      </c>
      <c r="L207" s="21">
        <v>22575.85</v>
      </c>
      <c r="M207" s="17">
        <f t="shared" si="15"/>
        <v>0.36868302226935312</v>
      </c>
      <c r="N207" s="8">
        <v>5.6400000000000002E-6</v>
      </c>
      <c r="O207" s="11">
        <v>4.26</v>
      </c>
      <c r="P207" s="7" t="s">
        <v>39</v>
      </c>
      <c r="Q207" s="11">
        <v>41.64</v>
      </c>
      <c r="R207" s="7">
        <v>20</v>
      </c>
      <c r="S207" s="7">
        <v>20</v>
      </c>
      <c r="T207" s="6"/>
      <c r="U207" s="6"/>
      <c r="V207" s="6"/>
    </row>
    <row r="208" spans="1:22" x14ac:dyDescent="0.25">
      <c r="A208" s="5" t="s">
        <v>25</v>
      </c>
      <c r="B208" s="5" t="s">
        <v>0</v>
      </c>
      <c r="C208" s="7">
        <v>2</v>
      </c>
      <c r="D208" s="7" t="s">
        <v>56</v>
      </c>
      <c r="E208" s="16">
        <v>1555496</v>
      </c>
      <c r="F208" s="16">
        <v>16626743</v>
      </c>
      <c r="G208" s="11">
        <v>181.22508155128671</v>
      </c>
      <c r="H208" s="7">
        <v>1</v>
      </c>
      <c r="I208" s="10">
        <f t="shared" si="13"/>
        <v>181.22508155128671</v>
      </c>
      <c r="J208" s="11">
        <v>9.3600000000000003E-2</v>
      </c>
      <c r="K208" s="10">
        <f t="shared" si="12"/>
        <v>16.962667633200436</v>
      </c>
      <c r="L208" s="21">
        <v>22575.85</v>
      </c>
      <c r="M208" s="17">
        <f t="shared" si="15"/>
        <v>0.38294664008698803</v>
      </c>
      <c r="N208" s="8">
        <v>5.1800000000000004E-6</v>
      </c>
      <c r="O208" s="11">
        <v>4.28</v>
      </c>
      <c r="P208" s="7" t="s">
        <v>39</v>
      </c>
      <c r="Q208" s="11">
        <v>41.93</v>
      </c>
      <c r="R208" s="7">
        <v>22</v>
      </c>
      <c r="S208" s="7">
        <v>22</v>
      </c>
      <c r="T208" s="6"/>
      <c r="U208" s="6"/>
      <c r="V208" s="6"/>
    </row>
    <row r="209" spans="1:22" x14ac:dyDescent="0.25">
      <c r="A209" s="5" t="s">
        <v>25</v>
      </c>
      <c r="B209" s="5" t="s">
        <v>0</v>
      </c>
      <c r="C209" s="7">
        <v>2</v>
      </c>
      <c r="D209" s="7" t="s">
        <v>57</v>
      </c>
      <c r="E209" s="16">
        <v>1324585</v>
      </c>
      <c r="F209" s="16">
        <v>14403894</v>
      </c>
      <c r="G209" s="11">
        <v>173.79214459506429</v>
      </c>
      <c r="H209" s="7">
        <v>1</v>
      </c>
      <c r="I209" s="10">
        <f t="shared" si="13"/>
        <v>173.79214459506429</v>
      </c>
      <c r="J209" s="11">
        <v>9.1999999999999998E-2</v>
      </c>
      <c r="K209" s="10">
        <f t="shared" si="12"/>
        <v>15.988877302745914</v>
      </c>
      <c r="L209" s="21">
        <v>22575.85</v>
      </c>
      <c r="M209" s="17">
        <f t="shared" si="15"/>
        <v>0.36096249565519634</v>
      </c>
      <c r="N209" s="8">
        <v>1.0200000000000001E-5</v>
      </c>
      <c r="O209" s="11">
        <v>4.08</v>
      </c>
      <c r="P209" s="7" t="s">
        <v>39</v>
      </c>
      <c r="Q209" s="11">
        <v>42.11</v>
      </c>
      <c r="R209" s="7">
        <v>21</v>
      </c>
      <c r="S209" s="7">
        <v>21</v>
      </c>
      <c r="T209" s="6"/>
      <c r="U209" s="6"/>
      <c r="V209" s="6"/>
    </row>
    <row r="210" spans="1:22" x14ac:dyDescent="0.25">
      <c r="A210" s="5" t="s">
        <v>25</v>
      </c>
      <c r="B210" s="5" t="s">
        <v>69</v>
      </c>
      <c r="C210" s="7">
        <v>2</v>
      </c>
      <c r="D210" s="7" t="s">
        <v>54</v>
      </c>
      <c r="E210" s="16">
        <v>1881646</v>
      </c>
      <c r="F210" s="16">
        <v>1762488</v>
      </c>
      <c r="G210" s="11">
        <v>146.79976512037581</v>
      </c>
      <c r="H210" s="7">
        <v>10</v>
      </c>
      <c r="I210" s="10">
        <f t="shared" ref="I210:I217" si="16">G210/H210</f>
        <v>14.67997651203758</v>
      </c>
      <c r="J210" s="11">
        <v>1.0676000000000001</v>
      </c>
      <c r="K210" s="10">
        <f t="shared" si="12"/>
        <v>15.672342924251323</v>
      </c>
      <c r="L210" s="21">
        <v>22575.85</v>
      </c>
      <c r="M210" s="17">
        <f t="shared" si="15"/>
        <v>0.35381646300645925</v>
      </c>
      <c r="N210" s="8">
        <v>2.62E-5</v>
      </c>
      <c r="O210" s="11">
        <v>3.74</v>
      </c>
      <c r="P210" s="7" t="s">
        <v>39</v>
      </c>
      <c r="Q210" s="11">
        <v>41.63</v>
      </c>
      <c r="R210" s="7">
        <v>24</v>
      </c>
      <c r="S210" s="7">
        <v>24</v>
      </c>
      <c r="T210" s="6"/>
      <c r="U210" s="6"/>
      <c r="V210" s="6"/>
    </row>
    <row r="211" spans="1:22" x14ac:dyDescent="0.25">
      <c r="A211" s="5" t="s">
        <v>25</v>
      </c>
      <c r="B211" s="5" t="s">
        <v>69</v>
      </c>
      <c r="C211" s="7">
        <v>2</v>
      </c>
      <c r="D211" s="7" t="s">
        <v>55</v>
      </c>
      <c r="E211" s="16">
        <v>2375978</v>
      </c>
      <c r="F211" s="16">
        <v>2155127</v>
      </c>
      <c r="G211" s="11">
        <v>176.74089784376105</v>
      </c>
      <c r="H211" s="7">
        <v>10</v>
      </c>
      <c r="I211" s="10">
        <f t="shared" si="16"/>
        <v>17.674089784376104</v>
      </c>
      <c r="J211" s="11">
        <v>1.1025</v>
      </c>
      <c r="K211" s="10">
        <f t="shared" si="12"/>
        <v>19.485683987274655</v>
      </c>
      <c r="L211" s="21">
        <v>22575.85</v>
      </c>
      <c r="M211" s="17">
        <f t="shared" si="15"/>
        <v>0.43990587884411447</v>
      </c>
      <c r="N211" s="8">
        <v>2.7399999999999999E-5</v>
      </c>
      <c r="O211" s="11">
        <v>3.72</v>
      </c>
      <c r="P211" s="7" t="s">
        <v>39</v>
      </c>
      <c r="Q211" s="11">
        <v>41.43</v>
      </c>
      <c r="R211" s="7">
        <v>20</v>
      </c>
      <c r="S211" s="7">
        <v>20</v>
      </c>
      <c r="T211" s="6"/>
      <c r="U211" s="6"/>
      <c r="V211" s="6"/>
    </row>
    <row r="212" spans="1:22" x14ac:dyDescent="0.25">
      <c r="A212" s="5" t="s">
        <v>25</v>
      </c>
      <c r="B212" s="5" t="s">
        <v>69</v>
      </c>
      <c r="C212" s="7">
        <v>2</v>
      </c>
      <c r="D212" s="7" t="s">
        <v>56</v>
      </c>
      <c r="E212" s="16">
        <v>2316934</v>
      </c>
      <c r="F212" s="16">
        <v>2606087</v>
      </c>
      <c r="G212" s="11">
        <v>181.22508155128671</v>
      </c>
      <c r="H212" s="7">
        <v>10</v>
      </c>
      <c r="I212" s="10">
        <f t="shared" si="16"/>
        <v>18.122508155128671</v>
      </c>
      <c r="J212" s="11">
        <v>0.88900000000000001</v>
      </c>
      <c r="K212" s="10">
        <f t="shared" si="12"/>
        <v>16.110909749909389</v>
      </c>
      <c r="L212" s="21">
        <v>22575.85</v>
      </c>
      <c r="M212" s="17">
        <f t="shared" si="15"/>
        <v>0.36371748187749187</v>
      </c>
      <c r="N212" s="8">
        <v>2.23E-5</v>
      </c>
      <c r="O212" s="11">
        <v>3.8</v>
      </c>
      <c r="P212" s="7" t="s">
        <v>39</v>
      </c>
      <c r="Q212" s="11">
        <v>41.81</v>
      </c>
      <c r="R212" s="7">
        <v>21</v>
      </c>
      <c r="S212" s="7">
        <v>21</v>
      </c>
      <c r="T212" s="6"/>
      <c r="U212" s="6"/>
      <c r="V212" s="6"/>
    </row>
    <row r="213" spans="1:22" x14ac:dyDescent="0.25">
      <c r="A213" s="5" t="s">
        <v>25</v>
      </c>
      <c r="B213" s="5" t="s">
        <v>69</v>
      </c>
      <c r="C213" s="7">
        <v>2</v>
      </c>
      <c r="D213" s="7" t="s">
        <v>57</v>
      </c>
      <c r="E213" s="16">
        <v>1974904</v>
      </c>
      <c r="F213" s="16">
        <v>2123578</v>
      </c>
      <c r="G213" s="11">
        <v>173.79214459506429</v>
      </c>
      <c r="H213" s="7">
        <v>10</v>
      </c>
      <c r="I213" s="10">
        <f t="shared" si="16"/>
        <v>17.379214459506429</v>
      </c>
      <c r="J213" s="11">
        <v>0.93</v>
      </c>
      <c r="K213" s="10">
        <f t="shared" si="12"/>
        <v>16.162669447340978</v>
      </c>
      <c r="L213" s="21">
        <v>22575.85</v>
      </c>
      <c r="M213" s="17">
        <f t="shared" si="15"/>
        <v>0.36488600104275282</v>
      </c>
      <c r="N213" s="8">
        <v>3.1399999999999998E-5</v>
      </c>
      <c r="O213" s="11">
        <v>3.67</v>
      </c>
      <c r="P213" s="7" t="s">
        <v>39</v>
      </c>
      <c r="Q213" s="11">
        <v>41.76</v>
      </c>
      <c r="R213" s="7">
        <v>20</v>
      </c>
      <c r="S213" s="7">
        <v>20</v>
      </c>
      <c r="T213" s="6"/>
      <c r="U213" s="6"/>
      <c r="V213" s="6"/>
    </row>
    <row r="214" spans="1:22" x14ac:dyDescent="0.25">
      <c r="A214" s="5" t="s">
        <v>25</v>
      </c>
      <c r="B214" s="5" t="s">
        <v>0</v>
      </c>
      <c r="C214" s="7">
        <v>2</v>
      </c>
      <c r="D214" s="7" t="s">
        <v>54</v>
      </c>
      <c r="E214" s="16">
        <v>1501918</v>
      </c>
      <c r="F214" s="16">
        <v>143676</v>
      </c>
      <c r="G214" s="11">
        <v>146.79976512037601</v>
      </c>
      <c r="H214" s="7">
        <v>100</v>
      </c>
      <c r="I214" s="10">
        <f t="shared" si="16"/>
        <v>1.46799765120376</v>
      </c>
      <c r="J214" s="11">
        <v>10.4535</v>
      </c>
      <c r="K214" s="10">
        <f>J214*I214</f>
        <v>15.345713446858506</v>
      </c>
      <c r="L214" s="21">
        <v>22575.85</v>
      </c>
      <c r="M214" s="17">
        <f t="shared" si="15"/>
        <v>0.34644252491926059</v>
      </c>
      <c r="N214" s="8">
        <v>1.8799999999999999E-4</v>
      </c>
      <c r="O214" s="11">
        <v>3.03</v>
      </c>
      <c r="P214" s="7" t="s">
        <v>39</v>
      </c>
      <c r="Q214" s="11">
        <v>41.66</v>
      </c>
      <c r="R214" s="7">
        <v>21</v>
      </c>
      <c r="S214" s="7">
        <v>21</v>
      </c>
      <c r="T214" s="6"/>
      <c r="U214" s="6"/>
      <c r="V214" s="6"/>
    </row>
    <row r="215" spans="1:22" x14ac:dyDescent="0.25">
      <c r="A215" s="5" t="s">
        <v>25</v>
      </c>
      <c r="B215" s="5" t="s">
        <v>0</v>
      </c>
      <c r="C215" s="7">
        <v>2</v>
      </c>
      <c r="D215" s="7" t="s">
        <v>55</v>
      </c>
      <c r="E215" s="16">
        <v>2507718</v>
      </c>
      <c r="F215" s="16">
        <v>204716</v>
      </c>
      <c r="G215" s="11">
        <v>176.74089784376105</v>
      </c>
      <c r="H215" s="7">
        <v>100</v>
      </c>
      <c r="I215" s="10">
        <f t="shared" si="16"/>
        <v>1.7674089784376106</v>
      </c>
      <c r="J215" s="11">
        <v>12.249700000000001</v>
      </c>
      <c r="K215" s="10">
        <f>J215*I215</f>
        <v>21.6502297631672</v>
      </c>
      <c r="L215" s="21">
        <v>22575.85</v>
      </c>
      <c r="M215" s="17">
        <f t="shared" si="15"/>
        <v>0.48877233959879818</v>
      </c>
      <c r="N215" s="8">
        <v>1.01E-4</v>
      </c>
      <c r="O215" s="11">
        <v>3.28</v>
      </c>
      <c r="P215" s="7" t="s">
        <v>39</v>
      </c>
      <c r="Q215" s="11">
        <v>41.58</v>
      </c>
      <c r="R215" s="7">
        <v>27</v>
      </c>
      <c r="S215" s="7">
        <v>27</v>
      </c>
      <c r="T215" s="6"/>
      <c r="U215" s="6"/>
      <c r="V215" s="6"/>
    </row>
    <row r="216" spans="1:22" x14ac:dyDescent="0.25">
      <c r="A216" s="5" t="s">
        <v>25</v>
      </c>
      <c r="B216" s="5" t="s">
        <v>0</v>
      </c>
      <c r="C216" s="7">
        <v>2</v>
      </c>
      <c r="D216" s="7" t="s">
        <v>56</v>
      </c>
      <c r="E216" s="16">
        <v>2297771</v>
      </c>
      <c r="F216" s="16">
        <v>215616</v>
      </c>
      <c r="G216" s="11">
        <v>181.22508155128671</v>
      </c>
      <c r="H216" s="7">
        <v>100</v>
      </c>
      <c r="I216" s="10">
        <f t="shared" si="16"/>
        <v>1.8122508155128672</v>
      </c>
      <c r="J216" s="11">
        <v>10.6568</v>
      </c>
      <c r="K216" s="10">
        <f>J216*I216</f>
        <v>19.312794490757522</v>
      </c>
      <c r="L216" s="21">
        <v>22575.85</v>
      </c>
      <c r="M216" s="17">
        <f t="shared" si="15"/>
        <v>0.43600275150416817</v>
      </c>
      <c r="N216" s="8">
        <v>1.27E-4</v>
      </c>
      <c r="O216" s="11">
        <v>3.19</v>
      </c>
      <c r="P216" s="7" t="s">
        <v>39</v>
      </c>
      <c r="Q216" s="11">
        <v>42.07</v>
      </c>
      <c r="R216" s="7">
        <v>22</v>
      </c>
      <c r="S216" s="7">
        <v>22</v>
      </c>
      <c r="T216" s="6"/>
      <c r="U216" s="6"/>
      <c r="V216" s="6"/>
    </row>
    <row r="217" spans="1:22" x14ac:dyDescent="0.25">
      <c r="A217" s="5" t="s">
        <v>25</v>
      </c>
      <c r="B217" s="5" t="s">
        <v>0</v>
      </c>
      <c r="C217" s="7">
        <v>2</v>
      </c>
      <c r="D217" s="7" t="s">
        <v>57</v>
      </c>
      <c r="E217" s="16">
        <v>1870664</v>
      </c>
      <c r="F217" s="16">
        <v>184163</v>
      </c>
      <c r="G217" s="11">
        <v>173.79214459506429</v>
      </c>
      <c r="H217" s="7">
        <v>100</v>
      </c>
      <c r="I217" s="10">
        <f t="shared" si="16"/>
        <v>1.7379214459506429</v>
      </c>
      <c r="J217" s="11">
        <v>10.1576</v>
      </c>
      <c r="K217" s="10">
        <f>J217*I217</f>
        <v>17.653110879388251</v>
      </c>
      <c r="L217" s="21">
        <v>22575.85</v>
      </c>
      <c r="M217" s="17">
        <f t="shared" si="15"/>
        <v>0.39853398324643724</v>
      </c>
      <c r="N217" s="8">
        <v>1.4300000000000001E-4</v>
      </c>
      <c r="O217" s="11">
        <v>3.13</v>
      </c>
      <c r="P217" s="7" t="s">
        <v>39</v>
      </c>
      <c r="Q217" s="11">
        <v>41.78</v>
      </c>
      <c r="R217" s="7">
        <v>22</v>
      </c>
      <c r="S217" s="7">
        <v>22</v>
      </c>
      <c r="T217" s="6"/>
      <c r="U217" s="6"/>
      <c r="V217" s="6"/>
    </row>
    <row r="221" spans="1:22" x14ac:dyDescent="0.25">
      <c r="Q221" s="102"/>
    </row>
    <row r="222" spans="1:22" x14ac:dyDescent="0.25">
      <c r="Q222" s="102"/>
    </row>
    <row r="223" spans="1:22" x14ac:dyDescent="0.25">
      <c r="Q223" s="102"/>
    </row>
    <row r="224" spans="1:22" x14ac:dyDescent="0.25">
      <c r="Q224" s="102"/>
    </row>
  </sheetData>
  <sortState xmlns:xlrd2="http://schemas.microsoft.com/office/spreadsheetml/2017/richdata2" ref="A2:W265">
    <sortCondition ref="A2:A265"/>
    <sortCondition ref="B2:B265"/>
    <sortCondition ref="C2:C265"/>
    <sortCondition ref="H2:H265"/>
    <sortCondition ref="D2:D265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74"/>
  <sheetViews>
    <sheetView zoomScale="80" zoomScaleNormal="80" workbookViewId="0">
      <pane xSplit="2" ySplit="1" topLeftCell="C2" activePane="bottomRight" state="frozenSplit"/>
      <selection pane="topRight" activeCell="F1" sqref="F1"/>
      <selection pane="bottomLeft" activeCell="A22" sqref="A22"/>
      <selection pane="bottomRight"/>
    </sheetView>
  </sheetViews>
  <sheetFormatPr defaultRowHeight="15.75" x14ac:dyDescent="0.25"/>
  <cols>
    <col min="1" max="1" width="18.85546875" style="5" customWidth="1"/>
    <col min="2" max="2" width="28" style="6" bestFit="1" customWidth="1"/>
    <col min="3" max="3" width="2.85546875" style="6" bestFit="1" customWidth="1"/>
    <col min="4" max="4" width="10.140625" style="6" bestFit="1" customWidth="1"/>
    <col min="5" max="5" width="9.140625" style="6" customWidth="1"/>
    <col min="6" max="6" width="8.85546875" style="14" bestFit="1" customWidth="1"/>
    <col min="7" max="7" width="9.85546875" style="6" customWidth="1"/>
    <col min="8" max="8" width="8.85546875" style="14" bestFit="1" customWidth="1"/>
    <col min="9" max="9" width="14.7109375" style="6" customWidth="1"/>
    <col min="10" max="10" width="8.85546875" style="6" customWidth="1"/>
    <col min="11" max="11" width="14.85546875" style="6" customWidth="1"/>
    <col min="12" max="12" width="13.85546875" style="14" customWidth="1"/>
    <col min="13" max="13" width="17.5703125" style="14" customWidth="1"/>
    <col min="14" max="14" width="10.42578125" style="6" customWidth="1"/>
    <col min="15" max="15" width="16.85546875" style="14" customWidth="1"/>
    <col min="16" max="16" width="11.28515625" style="14" customWidth="1"/>
    <col min="17" max="17" width="10.85546875" style="14" customWidth="1"/>
    <col min="18" max="18" width="7.7109375" style="12" bestFit="1" customWidth="1"/>
    <col min="19" max="19" width="5.140625" style="6" bestFit="1" customWidth="1"/>
    <col min="20" max="20" width="12.42578125" style="7" customWidth="1"/>
    <col min="21" max="21" width="12.7109375" style="7" customWidth="1"/>
    <col min="22" max="16384" width="9.140625" style="6"/>
  </cols>
  <sheetData>
    <row r="1" spans="1:21" s="3" customFormat="1" ht="49.5" customHeight="1" x14ac:dyDescent="0.25">
      <c r="A1" s="1" t="s">
        <v>31</v>
      </c>
      <c r="B1" s="1" t="s">
        <v>32</v>
      </c>
      <c r="C1" s="2" t="s">
        <v>28</v>
      </c>
      <c r="D1" s="3" t="s">
        <v>33</v>
      </c>
      <c r="E1" s="4" t="s">
        <v>50</v>
      </c>
      <c r="F1" s="4" t="s">
        <v>41</v>
      </c>
      <c r="G1" s="4" t="s">
        <v>51</v>
      </c>
      <c r="H1" s="4" t="s">
        <v>45</v>
      </c>
      <c r="I1" s="4" t="s">
        <v>243</v>
      </c>
      <c r="J1" s="4" t="s">
        <v>58</v>
      </c>
      <c r="K1" s="4" t="s">
        <v>53</v>
      </c>
      <c r="L1" s="4" t="s">
        <v>42</v>
      </c>
      <c r="M1" s="4" t="s">
        <v>34</v>
      </c>
      <c r="N1" s="4" t="s">
        <v>52</v>
      </c>
      <c r="O1" s="4" t="s">
        <v>35</v>
      </c>
      <c r="P1" s="4" t="s">
        <v>36</v>
      </c>
      <c r="Q1" s="4" t="s">
        <v>37</v>
      </c>
      <c r="R1" s="3" t="s">
        <v>38</v>
      </c>
      <c r="S1" s="3" t="s">
        <v>29</v>
      </c>
      <c r="T1" s="4" t="s">
        <v>46</v>
      </c>
      <c r="U1" s="4" t="s">
        <v>47</v>
      </c>
    </row>
    <row r="2" spans="1:21" x14ac:dyDescent="0.25">
      <c r="A2" s="5" t="s">
        <v>48</v>
      </c>
      <c r="B2" s="6" t="s">
        <v>3</v>
      </c>
      <c r="C2" s="7">
        <v>2</v>
      </c>
      <c r="D2" s="7" t="s">
        <v>54</v>
      </c>
      <c r="E2" s="8">
        <v>471923</v>
      </c>
      <c r="F2" s="93">
        <f>SUM(E2:E3)</f>
        <v>977808</v>
      </c>
      <c r="G2" s="8">
        <v>14552226</v>
      </c>
      <c r="H2" s="93">
        <f>SUM(G2:G3)</f>
        <v>46551884</v>
      </c>
      <c r="I2" s="11">
        <v>146.79976512037581</v>
      </c>
      <c r="J2" s="7">
        <v>1</v>
      </c>
      <c r="K2" s="10">
        <f t="shared" ref="K2:K25" si="0">I2/J2</f>
        <v>146.79976512037581</v>
      </c>
      <c r="L2" s="94">
        <f>F2/H2</f>
        <v>2.1004692312775138E-2</v>
      </c>
      <c r="M2" s="95">
        <f>L2*K3</f>
        <v>3.0834838979411536</v>
      </c>
      <c r="N2" s="9">
        <v>43340.61</v>
      </c>
      <c r="O2" s="92">
        <f>M2*N2/1000000</f>
        <v>0.13364007306194733</v>
      </c>
      <c r="P2" s="8">
        <v>2.37E-5</v>
      </c>
      <c r="Q2" s="11">
        <v>3.78</v>
      </c>
      <c r="R2" s="12" t="s">
        <v>39</v>
      </c>
      <c r="S2" s="11">
        <v>37.409999999999997</v>
      </c>
      <c r="T2" s="7">
        <v>35</v>
      </c>
      <c r="U2" s="9">
        <v>35</v>
      </c>
    </row>
    <row r="3" spans="1:21" x14ac:dyDescent="0.25">
      <c r="A3" s="5" t="s">
        <v>48</v>
      </c>
      <c r="B3" s="6" t="s">
        <v>13</v>
      </c>
      <c r="C3" s="7">
        <v>2</v>
      </c>
      <c r="D3" s="7" t="s">
        <v>54</v>
      </c>
      <c r="E3" s="8">
        <v>505885</v>
      </c>
      <c r="F3" s="93"/>
      <c r="G3" s="8">
        <v>31999658</v>
      </c>
      <c r="H3" s="93"/>
      <c r="I3" s="11">
        <v>146.79976512037581</v>
      </c>
      <c r="J3" s="7">
        <v>1</v>
      </c>
      <c r="K3" s="10">
        <f t="shared" si="0"/>
        <v>146.79976512037581</v>
      </c>
      <c r="L3" s="94"/>
      <c r="M3" s="95"/>
      <c r="N3" s="9">
        <v>43340.61</v>
      </c>
      <c r="O3" s="92"/>
      <c r="P3" s="8">
        <v>1.5400000000000002E-5</v>
      </c>
      <c r="Q3" s="11">
        <v>3.95</v>
      </c>
      <c r="R3" s="12" t="s">
        <v>39</v>
      </c>
      <c r="S3" s="11">
        <v>40.98</v>
      </c>
      <c r="T3" s="7">
        <v>29</v>
      </c>
      <c r="U3" s="9">
        <v>29</v>
      </c>
    </row>
    <row r="4" spans="1:21" x14ac:dyDescent="0.25">
      <c r="A4" s="5" t="s">
        <v>48</v>
      </c>
      <c r="B4" s="6" t="s">
        <v>3</v>
      </c>
      <c r="C4" s="7">
        <v>2</v>
      </c>
      <c r="D4" s="7" t="s">
        <v>55</v>
      </c>
      <c r="E4" s="8">
        <v>476243</v>
      </c>
      <c r="F4" s="93">
        <f>SUM(E4:E5)</f>
        <v>991174</v>
      </c>
      <c r="G4" s="8">
        <v>15490373</v>
      </c>
      <c r="H4" s="93">
        <f>SUM(G4:G5)</f>
        <v>50629453</v>
      </c>
      <c r="I4" s="11">
        <v>176.74089784376105</v>
      </c>
      <c r="J4" s="7">
        <v>1</v>
      </c>
      <c r="K4" s="10">
        <f t="shared" si="0"/>
        <v>176.74089784376105</v>
      </c>
      <c r="L4" s="94">
        <f>F4/H4</f>
        <v>1.9577023674342286E-2</v>
      </c>
      <c r="M4" s="95">
        <f>L4*K5</f>
        <v>3.4600607413118216</v>
      </c>
      <c r="N4" s="9">
        <v>43340.61</v>
      </c>
      <c r="O4" s="92">
        <f>M4*N4/1000000</f>
        <v>0.14996114316550654</v>
      </c>
      <c r="P4" s="8">
        <v>2.23E-5</v>
      </c>
      <c r="Q4" s="11">
        <v>3.8</v>
      </c>
      <c r="R4" s="12" t="s">
        <v>39</v>
      </c>
      <c r="S4" s="11">
        <v>37.08</v>
      </c>
      <c r="T4" s="7">
        <v>33</v>
      </c>
      <c r="U4" s="9">
        <v>33</v>
      </c>
    </row>
    <row r="5" spans="1:21" x14ac:dyDescent="0.25">
      <c r="A5" s="5" t="s">
        <v>48</v>
      </c>
      <c r="B5" s="6" t="s">
        <v>13</v>
      </c>
      <c r="C5" s="7">
        <v>2</v>
      </c>
      <c r="D5" s="7" t="s">
        <v>55</v>
      </c>
      <c r="E5" s="8">
        <v>514931</v>
      </c>
      <c r="F5" s="93"/>
      <c r="G5" s="8">
        <v>35139080</v>
      </c>
      <c r="H5" s="93"/>
      <c r="I5" s="11">
        <v>176.74089784376105</v>
      </c>
      <c r="J5" s="7">
        <v>1</v>
      </c>
      <c r="K5" s="10">
        <f t="shared" si="0"/>
        <v>176.74089784376105</v>
      </c>
      <c r="L5" s="94"/>
      <c r="M5" s="95"/>
      <c r="N5" s="9">
        <v>43340.61</v>
      </c>
      <c r="O5" s="92"/>
      <c r="P5" s="8">
        <v>1.4600000000000001E-5</v>
      </c>
      <c r="Q5" s="11">
        <v>3.97</v>
      </c>
      <c r="R5" s="12" t="s">
        <v>39</v>
      </c>
      <c r="S5" s="11">
        <v>40.83</v>
      </c>
      <c r="T5" s="7">
        <v>24</v>
      </c>
      <c r="U5" s="9">
        <v>24</v>
      </c>
    </row>
    <row r="6" spans="1:21" x14ac:dyDescent="0.25">
      <c r="A6" s="5" t="s">
        <v>48</v>
      </c>
      <c r="B6" s="6" t="s">
        <v>3</v>
      </c>
      <c r="C6" s="7">
        <v>2</v>
      </c>
      <c r="D6" s="7" t="s">
        <v>56</v>
      </c>
      <c r="E6" s="8">
        <v>458658</v>
      </c>
      <c r="F6" s="93">
        <f>SUM(E6:E7)</f>
        <v>951496</v>
      </c>
      <c r="G6" s="8">
        <v>15328383</v>
      </c>
      <c r="H6" s="93">
        <f>SUM(G6:G7)</f>
        <v>46582943</v>
      </c>
      <c r="I6" s="11">
        <v>181.22508155128671</v>
      </c>
      <c r="J6" s="7">
        <v>1</v>
      </c>
      <c r="K6" s="10">
        <f t="shared" si="0"/>
        <v>181.22508155128671</v>
      </c>
      <c r="L6" s="94">
        <f>F6/H6</f>
        <v>2.0425845571843754E-2</v>
      </c>
      <c r="M6" s="95">
        <f>L6*K7</f>
        <v>3.7016755295113728</v>
      </c>
      <c r="N6" s="9">
        <v>43340.61</v>
      </c>
      <c r="O6" s="92">
        <f>M6*N6/1000000</f>
        <v>0.16043287547109591</v>
      </c>
      <c r="P6" s="8">
        <v>2.4600000000000002E-5</v>
      </c>
      <c r="Q6" s="11">
        <v>3.76</v>
      </c>
      <c r="R6" s="12" t="s">
        <v>39</v>
      </c>
      <c r="S6" s="11">
        <v>37.200000000000003</v>
      </c>
      <c r="T6" s="7">
        <v>36</v>
      </c>
      <c r="U6" s="9">
        <v>36</v>
      </c>
    </row>
    <row r="7" spans="1:21" x14ac:dyDescent="0.25">
      <c r="A7" s="5" t="s">
        <v>48</v>
      </c>
      <c r="B7" s="6" t="s">
        <v>13</v>
      </c>
      <c r="C7" s="7">
        <v>2</v>
      </c>
      <c r="D7" s="7" t="s">
        <v>56</v>
      </c>
      <c r="E7" s="8">
        <v>492838</v>
      </c>
      <c r="F7" s="93"/>
      <c r="G7" s="8">
        <v>31254560</v>
      </c>
      <c r="H7" s="93"/>
      <c r="I7" s="11">
        <v>181.22508155128671</v>
      </c>
      <c r="J7" s="7">
        <v>1</v>
      </c>
      <c r="K7" s="10">
        <f t="shared" si="0"/>
        <v>181.22508155128671</v>
      </c>
      <c r="L7" s="94"/>
      <c r="M7" s="95"/>
      <c r="N7" s="9">
        <v>43340.61</v>
      </c>
      <c r="O7" s="92"/>
      <c r="P7" s="8">
        <v>1.6399999999999999E-5</v>
      </c>
      <c r="Q7" s="11">
        <v>3.91</v>
      </c>
      <c r="R7" s="12" t="s">
        <v>39</v>
      </c>
      <c r="S7" s="11">
        <v>40.93</v>
      </c>
      <c r="T7" s="7">
        <v>23</v>
      </c>
      <c r="U7" s="9">
        <v>23</v>
      </c>
    </row>
    <row r="8" spans="1:21" x14ac:dyDescent="0.25">
      <c r="A8" s="5" t="s">
        <v>48</v>
      </c>
      <c r="B8" s="6" t="s">
        <v>3</v>
      </c>
      <c r="C8" s="7">
        <v>2</v>
      </c>
      <c r="D8" s="7" t="s">
        <v>57</v>
      </c>
      <c r="E8" s="8">
        <v>459046</v>
      </c>
      <c r="F8" s="93">
        <f>SUM(E8:E9)</f>
        <v>926864</v>
      </c>
      <c r="G8" s="8">
        <v>13457042</v>
      </c>
      <c r="H8" s="93">
        <f>SUM(G8:G9)</f>
        <v>41642894</v>
      </c>
      <c r="I8" s="11">
        <v>173.79214459506429</v>
      </c>
      <c r="J8" s="7">
        <v>1</v>
      </c>
      <c r="K8" s="10">
        <f t="shared" si="0"/>
        <v>173.79214459506429</v>
      </c>
      <c r="L8" s="94">
        <f>F8/H8</f>
        <v>2.2257434845906723E-2</v>
      </c>
      <c r="M8" s="95">
        <f>L8*K9</f>
        <v>3.8681673350550434</v>
      </c>
      <c r="N8" s="9">
        <v>43340.61</v>
      </c>
      <c r="O8" s="92">
        <f>M8*N8/1000000</f>
        <v>0.16764873188335996</v>
      </c>
      <c r="P8" s="8">
        <v>3.2400000000000001E-5</v>
      </c>
      <c r="Q8" s="11">
        <v>3.66</v>
      </c>
      <c r="R8" s="12" t="s">
        <v>39</v>
      </c>
      <c r="S8" s="11">
        <v>37.43</v>
      </c>
      <c r="T8" s="7">
        <v>39</v>
      </c>
      <c r="U8" s="9">
        <v>39</v>
      </c>
    </row>
    <row r="9" spans="1:21" x14ac:dyDescent="0.25">
      <c r="A9" s="5" t="s">
        <v>48</v>
      </c>
      <c r="B9" s="6" t="s">
        <v>13</v>
      </c>
      <c r="C9" s="7">
        <v>2</v>
      </c>
      <c r="D9" s="7" t="s">
        <v>57</v>
      </c>
      <c r="E9" s="8">
        <v>467818</v>
      </c>
      <c r="F9" s="93"/>
      <c r="G9" s="8">
        <v>28185852</v>
      </c>
      <c r="H9" s="93"/>
      <c r="I9" s="11">
        <v>173.79214459506429</v>
      </c>
      <c r="J9" s="7">
        <v>1</v>
      </c>
      <c r="K9" s="10">
        <f t="shared" si="0"/>
        <v>173.79214459506429</v>
      </c>
      <c r="L9" s="94"/>
      <c r="M9" s="95"/>
      <c r="N9" s="9">
        <v>43340.61</v>
      </c>
      <c r="O9" s="92"/>
      <c r="P9" s="8">
        <v>2.37E-5</v>
      </c>
      <c r="Q9" s="11">
        <v>3.78</v>
      </c>
      <c r="R9" s="12" t="s">
        <v>39</v>
      </c>
      <c r="S9" s="11">
        <v>41.1</v>
      </c>
      <c r="T9" s="7">
        <v>23</v>
      </c>
      <c r="U9" s="9">
        <v>23</v>
      </c>
    </row>
    <row r="10" spans="1:21" x14ac:dyDescent="0.25">
      <c r="A10" s="5" t="s">
        <v>48</v>
      </c>
      <c r="B10" s="6" t="s">
        <v>3</v>
      </c>
      <c r="C10" s="7">
        <v>2</v>
      </c>
      <c r="D10" s="7" t="s">
        <v>54</v>
      </c>
      <c r="E10" s="8">
        <v>558887</v>
      </c>
      <c r="F10" s="93">
        <f>SUM(E10:E11)</f>
        <v>914104</v>
      </c>
      <c r="G10" s="8">
        <v>2009142</v>
      </c>
      <c r="H10" s="93">
        <f>SUM(G10:G11)</f>
        <v>6083760</v>
      </c>
      <c r="I10" s="11">
        <v>146.79976512037581</v>
      </c>
      <c r="J10" s="7">
        <v>10</v>
      </c>
      <c r="K10" s="10">
        <f t="shared" si="0"/>
        <v>14.67997651203758</v>
      </c>
      <c r="L10" s="94">
        <f>F10/H10</f>
        <v>0.15025313293095061</v>
      </c>
      <c r="M10" s="95">
        <f>L10*K11</f>
        <v>2.205712462286415</v>
      </c>
      <c r="N10" s="9">
        <v>43340.61</v>
      </c>
      <c r="O10" s="92">
        <f>N10*M10/1000000</f>
        <v>9.5596923600095224E-2</v>
      </c>
      <c r="P10" s="8">
        <v>1.36E-4</v>
      </c>
      <c r="Q10" s="11">
        <v>3.16</v>
      </c>
      <c r="R10" s="12" t="s">
        <v>39</v>
      </c>
      <c r="S10" s="11">
        <v>36.94</v>
      </c>
      <c r="T10" s="7">
        <v>45</v>
      </c>
      <c r="U10" s="9">
        <v>45</v>
      </c>
    </row>
    <row r="11" spans="1:21" x14ac:dyDescent="0.25">
      <c r="A11" s="5" t="s">
        <v>48</v>
      </c>
      <c r="B11" s="6" t="s">
        <v>13</v>
      </c>
      <c r="C11" s="7">
        <v>2</v>
      </c>
      <c r="D11" s="7" t="s">
        <v>54</v>
      </c>
      <c r="E11" s="8">
        <v>355217</v>
      </c>
      <c r="F11" s="93"/>
      <c r="G11" s="8">
        <v>4074618</v>
      </c>
      <c r="H11" s="93"/>
      <c r="I11" s="11">
        <v>146.79976512037581</v>
      </c>
      <c r="J11" s="7">
        <v>10</v>
      </c>
      <c r="K11" s="10">
        <f t="shared" si="0"/>
        <v>14.67997651203758</v>
      </c>
      <c r="L11" s="94"/>
      <c r="M11" s="95"/>
      <c r="N11" s="9">
        <v>43340.61</v>
      </c>
      <c r="O11" s="92"/>
      <c r="P11" s="8">
        <v>1.08E-4</v>
      </c>
      <c r="Q11" s="11">
        <v>3.25</v>
      </c>
      <c r="R11" s="12" t="s">
        <v>39</v>
      </c>
      <c r="S11" s="11">
        <v>40.78</v>
      </c>
      <c r="T11" s="7">
        <v>23</v>
      </c>
      <c r="U11" s="9">
        <v>23</v>
      </c>
    </row>
    <row r="12" spans="1:21" x14ac:dyDescent="0.25">
      <c r="A12" s="5" t="s">
        <v>48</v>
      </c>
      <c r="B12" s="6" t="s">
        <v>3</v>
      </c>
      <c r="C12" s="7">
        <v>2</v>
      </c>
      <c r="D12" s="7" t="s">
        <v>55</v>
      </c>
      <c r="E12" s="8">
        <v>766747</v>
      </c>
      <c r="F12" s="93">
        <f>SUM(E12:E13)</f>
        <v>1330837</v>
      </c>
      <c r="G12" s="8">
        <v>2746361</v>
      </c>
      <c r="H12" s="93">
        <f>SUM(G12:G13)</f>
        <v>8918538</v>
      </c>
      <c r="I12" s="11">
        <v>176.74089784376105</v>
      </c>
      <c r="J12" s="7">
        <v>10</v>
      </c>
      <c r="K12" s="10">
        <f t="shared" si="0"/>
        <v>17.674089784376104</v>
      </c>
      <c r="L12" s="94">
        <f>F12/H12</f>
        <v>0.1492214306874064</v>
      </c>
      <c r="M12" s="95">
        <f>L12*K13</f>
        <v>2.6373529637222761</v>
      </c>
      <c r="N12" s="9">
        <v>43340.61</v>
      </c>
      <c r="O12" s="92">
        <f>N12*M12/1000000</f>
        <v>0.11430448623303131</v>
      </c>
      <c r="P12" s="8">
        <v>1.08E-4</v>
      </c>
      <c r="Q12" s="11">
        <v>3.25</v>
      </c>
      <c r="R12" s="12" t="s">
        <v>39</v>
      </c>
      <c r="S12" s="11">
        <v>36.799999999999997</v>
      </c>
      <c r="T12" s="7">
        <v>47</v>
      </c>
      <c r="U12" s="9">
        <v>47</v>
      </c>
    </row>
    <row r="13" spans="1:21" x14ac:dyDescent="0.25">
      <c r="A13" s="5" t="s">
        <v>48</v>
      </c>
      <c r="B13" s="6" t="s">
        <v>13</v>
      </c>
      <c r="C13" s="7">
        <v>2</v>
      </c>
      <c r="D13" s="7" t="s">
        <v>55</v>
      </c>
      <c r="E13" s="8">
        <v>564090</v>
      </c>
      <c r="F13" s="93"/>
      <c r="G13" s="8">
        <v>6172177</v>
      </c>
      <c r="H13" s="93"/>
      <c r="I13" s="11">
        <v>176.74089784376105</v>
      </c>
      <c r="J13" s="7">
        <v>10</v>
      </c>
      <c r="K13" s="10">
        <f t="shared" si="0"/>
        <v>17.674089784376104</v>
      </c>
      <c r="L13" s="94"/>
      <c r="M13" s="95"/>
      <c r="N13" s="9">
        <v>43340.61</v>
      </c>
      <c r="O13" s="92"/>
      <c r="P13" s="8">
        <v>6.6799999999999997E-5</v>
      </c>
      <c r="Q13" s="11">
        <v>3.42</v>
      </c>
      <c r="R13" s="12" t="s">
        <v>39</v>
      </c>
      <c r="S13" s="11">
        <v>40.56</v>
      </c>
      <c r="T13" s="7">
        <v>21</v>
      </c>
      <c r="U13" s="9">
        <v>21</v>
      </c>
    </row>
    <row r="14" spans="1:21" x14ac:dyDescent="0.25">
      <c r="A14" s="5" t="s">
        <v>48</v>
      </c>
      <c r="B14" s="6" t="s">
        <v>3</v>
      </c>
      <c r="C14" s="7">
        <v>2</v>
      </c>
      <c r="D14" s="7" t="s">
        <v>56</v>
      </c>
      <c r="E14" s="8">
        <v>683405</v>
      </c>
      <c r="F14" s="93">
        <f>SUM(E14:E15)</f>
        <v>1119857</v>
      </c>
      <c r="G14" s="8">
        <v>2696450</v>
      </c>
      <c r="H14" s="93">
        <f>SUM(G14:G15)</f>
        <v>8030205</v>
      </c>
      <c r="I14" s="11">
        <v>181.22508155128671</v>
      </c>
      <c r="J14" s="7">
        <v>10</v>
      </c>
      <c r="K14" s="10">
        <f t="shared" si="0"/>
        <v>18.122508155128671</v>
      </c>
      <c r="L14" s="94">
        <f>F14/H14</f>
        <v>0.1394555929767671</v>
      </c>
      <c r="M14" s="95">
        <f>L14*K15</f>
        <v>2.5272851209997662</v>
      </c>
      <c r="N14" s="9">
        <v>43340.61</v>
      </c>
      <c r="O14" s="92">
        <f>N14*M14/1000000</f>
        <v>0.10953407878805368</v>
      </c>
      <c r="P14" s="8">
        <v>1.36E-4</v>
      </c>
      <c r="Q14" s="11">
        <v>3.16</v>
      </c>
      <c r="R14" s="12" t="s">
        <v>39</v>
      </c>
      <c r="S14" s="11">
        <v>37.08</v>
      </c>
      <c r="T14" s="7">
        <v>49</v>
      </c>
      <c r="U14" s="9">
        <v>49</v>
      </c>
    </row>
    <row r="15" spans="1:21" x14ac:dyDescent="0.25">
      <c r="A15" s="5" t="s">
        <v>48</v>
      </c>
      <c r="B15" s="6" t="s">
        <v>13</v>
      </c>
      <c r="C15" s="7">
        <v>2</v>
      </c>
      <c r="D15" s="7" t="s">
        <v>56</v>
      </c>
      <c r="E15" s="8">
        <v>436452</v>
      </c>
      <c r="F15" s="93"/>
      <c r="G15" s="8">
        <v>5333755</v>
      </c>
      <c r="H15" s="93"/>
      <c r="I15" s="11">
        <v>181.22508155128671</v>
      </c>
      <c r="J15" s="7">
        <v>10</v>
      </c>
      <c r="K15" s="10">
        <f t="shared" si="0"/>
        <v>18.122508155128671</v>
      </c>
      <c r="L15" s="94"/>
      <c r="M15" s="95"/>
      <c r="N15" s="9">
        <v>43340.61</v>
      </c>
      <c r="O15" s="92"/>
      <c r="P15" s="8">
        <v>1.08E-4</v>
      </c>
      <c r="Q15" s="11">
        <v>3.24</v>
      </c>
      <c r="R15" s="12" t="s">
        <v>39</v>
      </c>
      <c r="S15" s="11">
        <v>40.880000000000003</v>
      </c>
      <c r="T15" s="7">
        <v>21</v>
      </c>
      <c r="U15" s="9">
        <v>21</v>
      </c>
    </row>
    <row r="16" spans="1:21" x14ac:dyDescent="0.25">
      <c r="A16" s="5" t="s">
        <v>48</v>
      </c>
      <c r="B16" s="6" t="s">
        <v>3</v>
      </c>
      <c r="C16" s="7">
        <v>2</v>
      </c>
      <c r="D16" s="7" t="s">
        <v>57</v>
      </c>
      <c r="E16" s="8">
        <v>622960</v>
      </c>
      <c r="F16" s="93">
        <f>SUM(E16:E17)</f>
        <v>1033059</v>
      </c>
      <c r="G16" s="8">
        <v>2421883</v>
      </c>
      <c r="H16" s="93">
        <f>SUM(G16:G17)</f>
        <v>7383138</v>
      </c>
      <c r="I16" s="11">
        <v>173.79214459506429</v>
      </c>
      <c r="J16" s="7">
        <v>10</v>
      </c>
      <c r="K16" s="10">
        <f t="shared" si="0"/>
        <v>17.379214459506429</v>
      </c>
      <c r="L16" s="94">
        <f>F16/H16</f>
        <v>0.13992139927494243</v>
      </c>
      <c r="M16" s="95">
        <f>L16*K17</f>
        <v>2.4317240054734519</v>
      </c>
      <c r="N16" s="9">
        <v>43340.61</v>
      </c>
      <c r="O16" s="92">
        <f>N16*M16/1000000</f>
        <v>0.10539240174886275</v>
      </c>
      <c r="P16" s="8">
        <v>1.3999999999999999E-4</v>
      </c>
      <c r="Q16" s="11">
        <v>3.14</v>
      </c>
      <c r="R16" s="12" t="s">
        <v>39</v>
      </c>
      <c r="S16" s="11">
        <v>37.1</v>
      </c>
      <c r="T16" s="7">
        <v>35</v>
      </c>
      <c r="U16" s="9">
        <v>35</v>
      </c>
    </row>
    <row r="17" spans="1:21" x14ac:dyDescent="0.25">
      <c r="A17" s="5" t="s">
        <v>48</v>
      </c>
      <c r="B17" s="6" t="s">
        <v>13</v>
      </c>
      <c r="C17" s="7">
        <v>2</v>
      </c>
      <c r="D17" s="7" t="s">
        <v>57</v>
      </c>
      <c r="E17" s="8">
        <v>410099</v>
      </c>
      <c r="F17" s="93"/>
      <c r="G17" s="8">
        <v>4961255</v>
      </c>
      <c r="H17" s="93"/>
      <c r="I17" s="11">
        <v>173.79214459506429</v>
      </c>
      <c r="J17" s="7">
        <v>10</v>
      </c>
      <c r="K17" s="10">
        <f t="shared" si="0"/>
        <v>17.379214459506429</v>
      </c>
      <c r="L17" s="94"/>
      <c r="M17" s="95"/>
      <c r="N17" s="9">
        <v>43340.61</v>
      </c>
      <c r="O17" s="92"/>
      <c r="P17" s="8">
        <v>1.07E-4</v>
      </c>
      <c r="Q17" s="11">
        <v>3.26</v>
      </c>
      <c r="R17" s="12" t="s">
        <v>39</v>
      </c>
      <c r="S17" s="11">
        <v>40.92</v>
      </c>
      <c r="T17" s="7">
        <v>21</v>
      </c>
      <c r="U17" s="9">
        <v>21</v>
      </c>
    </row>
    <row r="18" spans="1:21" x14ac:dyDescent="0.25">
      <c r="A18" s="5" t="s">
        <v>48</v>
      </c>
      <c r="B18" s="6" t="s">
        <v>70</v>
      </c>
      <c r="C18" s="7">
        <v>2</v>
      </c>
      <c r="D18" s="7" t="s">
        <v>54</v>
      </c>
      <c r="E18" s="8">
        <v>475234</v>
      </c>
      <c r="F18" s="93">
        <f>SUM(E18:E19)</f>
        <v>832006</v>
      </c>
      <c r="G18" s="8">
        <v>208989</v>
      </c>
      <c r="H18" s="93">
        <f>SUM(G18:G19)</f>
        <v>635437</v>
      </c>
      <c r="I18" s="11">
        <v>146.79976512037581</v>
      </c>
      <c r="J18" s="7">
        <v>100</v>
      </c>
      <c r="K18" s="10">
        <f t="shared" si="0"/>
        <v>1.467997651203758</v>
      </c>
      <c r="L18" s="94">
        <f>F18/H18</f>
        <v>1.3093445927763099</v>
      </c>
      <c r="M18" s="95">
        <f>L18*K19</f>
        <v>1.9221147868119639</v>
      </c>
      <c r="N18" s="9">
        <v>43340.61</v>
      </c>
      <c r="O18" s="92">
        <f>M18*N19/1000000</f>
        <v>8.3305627350450481E-2</v>
      </c>
      <c r="P18" s="8">
        <v>7.6599999999999997E-4</v>
      </c>
      <c r="Q18" s="11">
        <v>2.5</v>
      </c>
      <c r="R18" s="12" t="s">
        <v>39</v>
      </c>
      <c r="S18" s="11">
        <v>36.96</v>
      </c>
      <c r="T18" s="7">
        <v>54</v>
      </c>
      <c r="U18" s="9">
        <v>54</v>
      </c>
    </row>
    <row r="19" spans="1:21" x14ac:dyDescent="0.25">
      <c r="A19" s="5" t="s">
        <v>48</v>
      </c>
      <c r="B19" s="6" t="s">
        <v>71</v>
      </c>
      <c r="C19" s="7">
        <v>2</v>
      </c>
      <c r="D19" s="7" t="s">
        <v>54</v>
      </c>
      <c r="E19" s="8">
        <v>356772</v>
      </c>
      <c r="F19" s="93"/>
      <c r="G19" s="8">
        <v>426448</v>
      </c>
      <c r="H19" s="93"/>
      <c r="I19" s="11">
        <v>146.79976512037581</v>
      </c>
      <c r="J19" s="7">
        <v>100</v>
      </c>
      <c r="K19" s="10">
        <f t="shared" si="0"/>
        <v>1.467997651203758</v>
      </c>
      <c r="L19" s="94"/>
      <c r="M19" s="95"/>
      <c r="N19" s="9">
        <v>43340.61</v>
      </c>
      <c r="O19" s="92"/>
      <c r="P19" s="8">
        <v>4.6700000000000002E-4</v>
      </c>
      <c r="Q19" s="11">
        <v>2.71</v>
      </c>
      <c r="R19" s="12" t="s">
        <v>39</v>
      </c>
      <c r="S19" s="11">
        <v>40.71</v>
      </c>
      <c r="T19" s="7">
        <v>22</v>
      </c>
      <c r="U19" s="9">
        <v>22</v>
      </c>
    </row>
    <row r="20" spans="1:21" x14ac:dyDescent="0.25">
      <c r="A20" s="5" t="s">
        <v>48</v>
      </c>
      <c r="B20" s="6" t="s">
        <v>70</v>
      </c>
      <c r="C20" s="7">
        <v>2</v>
      </c>
      <c r="D20" s="7" t="s">
        <v>55</v>
      </c>
      <c r="E20" s="8">
        <v>711167</v>
      </c>
      <c r="F20" s="93">
        <f>SUM(E20:E21)</f>
        <v>1081078</v>
      </c>
      <c r="G20" s="8">
        <v>302979</v>
      </c>
      <c r="H20" s="93">
        <f>SUM(G20:G21)</f>
        <v>815905</v>
      </c>
      <c r="I20" s="11">
        <v>176.74089784376105</v>
      </c>
      <c r="J20" s="7">
        <v>100</v>
      </c>
      <c r="K20" s="10">
        <f t="shared" si="0"/>
        <v>1.7674089784376106</v>
      </c>
      <c r="L20" s="94">
        <f>F20/H20</f>
        <v>1.325004749327434</v>
      </c>
      <c r="M20" s="95">
        <f>L20*K21</f>
        <v>2.3418252904337824</v>
      </c>
      <c r="N20" s="9">
        <v>43340.61</v>
      </c>
      <c r="O20" s="92">
        <f>M20*N21/1000000</f>
        <v>0.10149613660082729</v>
      </c>
      <c r="P20" s="8">
        <v>5.2499999999999997E-4</v>
      </c>
      <c r="Q20" s="11">
        <v>2.66</v>
      </c>
      <c r="R20" s="12" t="s">
        <v>39</v>
      </c>
      <c r="S20" s="11">
        <v>36.86</v>
      </c>
      <c r="T20" s="7">
        <v>43</v>
      </c>
      <c r="U20" s="9">
        <v>43</v>
      </c>
    </row>
    <row r="21" spans="1:21" x14ac:dyDescent="0.25">
      <c r="A21" s="5" t="s">
        <v>48</v>
      </c>
      <c r="B21" s="6" t="s">
        <v>71</v>
      </c>
      <c r="C21" s="7">
        <v>2</v>
      </c>
      <c r="D21" s="7" t="s">
        <v>55</v>
      </c>
      <c r="E21" s="8">
        <v>369911</v>
      </c>
      <c r="F21" s="93"/>
      <c r="G21" s="8">
        <v>512926</v>
      </c>
      <c r="H21" s="93"/>
      <c r="I21" s="11">
        <v>176.74089784376105</v>
      </c>
      <c r="J21" s="7">
        <v>100</v>
      </c>
      <c r="K21" s="10">
        <f t="shared" si="0"/>
        <v>1.7674089784376106</v>
      </c>
      <c r="L21" s="94"/>
      <c r="M21" s="95"/>
      <c r="N21" s="9">
        <v>43340.61</v>
      </c>
      <c r="O21" s="92"/>
      <c r="P21" s="8">
        <v>4.5199999999999998E-4</v>
      </c>
      <c r="Q21" s="11">
        <v>2.73</v>
      </c>
      <c r="R21" s="12" t="s">
        <v>39</v>
      </c>
      <c r="S21" s="11">
        <v>40.85</v>
      </c>
      <c r="T21" s="7">
        <v>22</v>
      </c>
      <c r="U21" s="9">
        <v>22</v>
      </c>
    </row>
    <row r="22" spans="1:21" x14ac:dyDescent="0.25">
      <c r="A22" s="5" t="s">
        <v>48</v>
      </c>
      <c r="B22" s="6" t="s">
        <v>70</v>
      </c>
      <c r="C22" s="7">
        <v>2</v>
      </c>
      <c r="D22" s="7" t="s">
        <v>56</v>
      </c>
      <c r="E22" s="8">
        <v>661146</v>
      </c>
      <c r="F22" s="93">
        <f>SUM(E22:E23)</f>
        <v>1015332</v>
      </c>
      <c r="G22" s="8">
        <v>284621</v>
      </c>
      <c r="H22" s="93">
        <f>SUM(G22:G23)</f>
        <v>808855</v>
      </c>
      <c r="I22" s="11">
        <v>181.22508155128671</v>
      </c>
      <c r="J22" s="7">
        <v>100</v>
      </c>
      <c r="K22" s="10">
        <f t="shared" si="0"/>
        <v>1.8122508155128672</v>
      </c>
      <c r="L22" s="94">
        <f>F22/H22</f>
        <v>1.2552707221937183</v>
      </c>
      <c r="M22" s="95">
        <f>L22*K23</f>
        <v>2.2748653899849915</v>
      </c>
      <c r="N22" s="9">
        <v>43340.61</v>
      </c>
      <c r="O22" s="92">
        <f>M22*N23/1000000</f>
        <v>9.8594053669837423E-2</v>
      </c>
      <c r="P22" s="8">
        <v>4.4000000000000002E-4</v>
      </c>
      <c r="Q22" s="11">
        <v>2.74</v>
      </c>
      <c r="R22" s="12" t="s">
        <v>39</v>
      </c>
      <c r="S22" s="11">
        <v>37.5</v>
      </c>
      <c r="T22" s="7">
        <v>35</v>
      </c>
      <c r="U22" s="9">
        <v>35</v>
      </c>
    </row>
    <row r="23" spans="1:21" x14ac:dyDescent="0.25">
      <c r="A23" s="5" t="s">
        <v>48</v>
      </c>
      <c r="B23" s="6" t="s">
        <v>71</v>
      </c>
      <c r="C23" s="7">
        <v>2</v>
      </c>
      <c r="D23" s="7" t="s">
        <v>56</v>
      </c>
      <c r="E23" s="8">
        <v>354186</v>
      </c>
      <c r="F23" s="93"/>
      <c r="G23" s="8">
        <v>524234</v>
      </c>
      <c r="H23" s="93"/>
      <c r="I23" s="11">
        <v>181.22508155128671</v>
      </c>
      <c r="J23" s="7">
        <v>100</v>
      </c>
      <c r="K23" s="10">
        <f t="shared" si="0"/>
        <v>1.8122508155128672</v>
      </c>
      <c r="L23" s="94"/>
      <c r="M23" s="95"/>
      <c r="N23" s="9">
        <v>43340.61</v>
      </c>
      <c r="O23" s="92"/>
      <c r="P23" s="8">
        <v>4.4000000000000002E-4</v>
      </c>
      <c r="Q23" s="11">
        <v>2.74</v>
      </c>
      <c r="R23" s="12" t="s">
        <v>39</v>
      </c>
      <c r="S23" s="11">
        <v>41.18</v>
      </c>
      <c r="T23" s="7">
        <v>19</v>
      </c>
      <c r="U23" s="9">
        <v>19</v>
      </c>
    </row>
    <row r="24" spans="1:21" x14ac:dyDescent="0.25">
      <c r="A24" s="5" t="s">
        <v>48</v>
      </c>
      <c r="B24" s="6" t="s">
        <v>70</v>
      </c>
      <c r="C24" s="7">
        <v>2</v>
      </c>
      <c r="D24" s="7" t="s">
        <v>57</v>
      </c>
      <c r="E24" s="8">
        <v>495221</v>
      </c>
      <c r="F24" s="93">
        <f>SUM(E24:E25)</f>
        <v>837068</v>
      </c>
      <c r="G24" s="8">
        <v>234592</v>
      </c>
      <c r="H24" s="93">
        <f>SUM(G24:G25)</f>
        <v>683286</v>
      </c>
      <c r="I24" s="11">
        <v>173.79214459506429</v>
      </c>
      <c r="J24" s="7">
        <v>100</v>
      </c>
      <c r="K24" s="10">
        <f t="shared" si="0"/>
        <v>1.7379214459506429</v>
      </c>
      <c r="L24" s="94">
        <f>F24/H24</f>
        <v>1.225062418957801</v>
      </c>
      <c r="M24" s="95">
        <f>L24*K25</f>
        <v>2.1290622505349339</v>
      </c>
      <c r="N24" s="9">
        <v>43340.61</v>
      </c>
      <c r="O24" s="92">
        <f>M24*N25/1000000</f>
        <v>9.2274856666156868E-2</v>
      </c>
      <c r="P24" s="8">
        <v>7.9600000000000005E-4</v>
      </c>
      <c r="Q24" s="11">
        <v>2.48</v>
      </c>
      <c r="R24" s="12" t="s">
        <v>39</v>
      </c>
      <c r="S24" s="11">
        <v>37.07</v>
      </c>
      <c r="T24" s="7">
        <v>35</v>
      </c>
      <c r="U24" s="9">
        <v>35</v>
      </c>
    </row>
    <row r="25" spans="1:21" x14ac:dyDescent="0.25">
      <c r="A25" s="5" t="s">
        <v>48</v>
      </c>
      <c r="B25" s="6" t="s">
        <v>71</v>
      </c>
      <c r="C25" s="7">
        <v>2</v>
      </c>
      <c r="D25" s="7" t="s">
        <v>57</v>
      </c>
      <c r="E25" s="8">
        <v>341847</v>
      </c>
      <c r="F25" s="93"/>
      <c r="G25" s="8">
        <v>448694</v>
      </c>
      <c r="H25" s="93"/>
      <c r="I25" s="11">
        <v>173.79214459506429</v>
      </c>
      <c r="J25" s="7">
        <v>100</v>
      </c>
      <c r="K25" s="10">
        <f t="shared" si="0"/>
        <v>1.7379214459506429</v>
      </c>
      <c r="L25" s="94"/>
      <c r="M25" s="95"/>
      <c r="N25" s="9">
        <v>43340.61</v>
      </c>
      <c r="O25" s="92"/>
      <c r="P25" s="8">
        <v>4.64E-4</v>
      </c>
      <c r="Q25" s="11">
        <v>2.71</v>
      </c>
      <c r="R25" s="12" t="s">
        <v>39</v>
      </c>
      <c r="S25" s="11">
        <v>40.75</v>
      </c>
      <c r="T25" s="7">
        <v>23</v>
      </c>
      <c r="U25" s="9">
        <v>23</v>
      </c>
    </row>
    <row r="26" spans="1:21" x14ac:dyDescent="0.25">
      <c r="C26" s="7"/>
      <c r="D26" s="7"/>
      <c r="E26" s="8"/>
      <c r="F26" s="26"/>
      <c r="G26" s="8"/>
      <c r="H26" s="26"/>
      <c r="I26" s="11"/>
      <c r="J26" s="7"/>
      <c r="K26" s="10"/>
      <c r="L26" s="25"/>
      <c r="M26" s="13"/>
      <c r="N26" s="9"/>
      <c r="O26" s="27"/>
      <c r="P26" s="8"/>
      <c r="Q26" s="11"/>
      <c r="S26" s="11"/>
      <c r="U26" s="9"/>
    </row>
    <row r="27" spans="1:21" x14ac:dyDescent="0.25">
      <c r="A27" s="5" t="s">
        <v>24</v>
      </c>
      <c r="B27" s="6" t="s">
        <v>6</v>
      </c>
      <c r="C27" s="7">
        <v>2</v>
      </c>
      <c r="D27" s="7" t="s">
        <v>54</v>
      </c>
      <c r="E27" s="8">
        <v>100543</v>
      </c>
      <c r="F27" s="93">
        <f>SUM(E27:E28)</f>
        <v>186050</v>
      </c>
      <c r="G27" s="8">
        <v>2702040</v>
      </c>
      <c r="H27" s="93">
        <f>SUM(G27:G28)</f>
        <v>8788877</v>
      </c>
      <c r="I27" s="11">
        <v>146.79976512037581</v>
      </c>
      <c r="J27" s="7">
        <v>1</v>
      </c>
      <c r="K27" s="10">
        <f t="shared" ref="K27:K74" si="1">I27/J27</f>
        <v>146.79976512037581</v>
      </c>
      <c r="L27" s="94">
        <f>F27/H27</f>
        <v>2.1168802339593555E-2</v>
      </c>
      <c r="M27" s="95">
        <f>L27*K28</f>
        <v>3.1075752113319957</v>
      </c>
      <c r="N27" s="9">
        <v>13776.5</v>
      </c>
      <c r="O27" s="92">
        <f>M27*N27/1000000</f>
        <v>4.2811509898915238E-2</v>
      </c>
      <c r="P27" s="8">
        <v>6.86E-5</v>
      </c>
      <c r="Q27" s="11">
        <v>3.4</v>
      </c>
      <c r="R27" s="8" t="s">
        <v>39</v>
      </c>
      <c r="S27" s="11">
        <v>31.84</v>
      </c>
      <c r="T27" s="7">
        <v>27</v>
      </c>
      <c r="U27" s="7">
        <v>27</v>
      </c>
    </row>
    <row r="28" spans="1:21" x14ac:dyDescent="0.25">
      <c r="A28" s="5" t="s">
        <v>24</v>
      </c>
      <c r="B28" s="6" t="s">
        <v>8</v>
      </c>
      <c r="C28" s="7">
        <v>2</v>
      </c>
      <c r="D28" s="7" t="s">
        <v>54</v>
      </c>
      <c r="E28" s="8">
        <v>85507</v>
      </c>
      <c r="F28" s="93"/>
      <c r="G28" s="8">
        <v>6086837</v>
      </c>
      <c r="H28" s="93"/>
      <c r="I28" s="11">
        <v>146.79976512037581</v>
      </c>
      <c r="J28" s="7">
        <v>1</v>
      </c>
      <c r="K28" s="10">
        <f t="shared" si="1"/>
        <v>146.79976512037581</v>
      </c>
      <c r="L28" s="94"/>
      <c r="M28" s="95"/>
      <c r="N28" s="9">
        <v>13776.5</v>
      </c>
      <c r="O28" s="92"/>
      <c r="P28" s="8">
        <v>6.6900000000000003E-6</v>
      </c>
      <c r="Q28" s="11">
        <v>4.2</v>
      </c>
      <c r="R28" s="8" t="s">
        <v>39</v>
      </c>
      <c r="S28" s="11">
        <v>33.08</v>
      </c>
      <c r="T28" s="7">
        <v>30</v>
      </c>
      <c r="U28" s="7">
        <v>30</v>
      </c>
    </row>
    <row r="29" spans="1:21" x14ac:dyDescent="0.25">
      <c r="A29" s="5" t="s">
        <v>24</v>
      </c>
      <c r="B29" s="6" t="s">
        <v>6</v>
      </c>
      <c r="C29" s="7">
        <v>2</v>
      </c>
      <c r="D29" s="7" t="s">
        <v>55</v>
      </c>
      <c r="E29" s="8">
        <v>95739</v>
      </c>
      <c r="F29" s="93">
        <f>SUM(E29:E30)</f>
        <v>172904</v>
      </c>
      <c r="G29" s="8">
        <v>3152514</v>
      </c>
      <c r="H29" s="93">
        <f>SUM(G29:G30)</f>
        <v>9607535</v>
      </c>
      <c r="I29" s="11">
        <v>176.74089784376105</v>
      </c>
      <c r="J29" s="7">
        <v>1</v>
      </c>
      <c r="K29" s="10">
        <f t="shared" si="1"/>
        <v>176.74089784376105</v>
      </c>
      <c r="L29" s="94">
        <f>F29/H29</f>
        <v>1.7996707792373383E-2</v>
      </c>
      <c r="M29" s="95">
        <f>L29*K30</f>
        <v>3.1807542934558826</v>
      </c>
      <c r="N29" s="9">
        <v>13776.5</v>
      </c>
      <c r="O29" s="92">
        <f>M29*N29/1000000</f>
        <v>4.3819661523794969E-2</v>
      </c>
      <c r="P29" s="8">
        <v>5.5600000000000003E-5</v>
      </c>
      <c r="Q29" s="11">
        <v>3.5</v>
      </c>
      <c r="R29" s="8" t="s">
        <v>39</v>
      </c>
      <c r="S29" s="11">
        <v>31.32</v>
      </c>
      <c r="T29" s="7">
        <v>28</v>
      </c>
      <c r="U29" s="7">
        <v>28</v>
      </c>
    </row>
    <row r="30" spans="1:21" x14ac:dyDescent="0.25">
      <c r="A30" s="5" t="s">
        <v>24</v>
      </c>
      <c r="B30" s="6" t="s">
        <v>8</v>
      </c>
      <c r="C30" s="7">
        <v>2</v>
      </c>
      <c r="D30" s="7" t="s">
        <v>55</v>
      </c>
      <c r="E30" s="8">
        <v>77165</v>
      </c>
      <c r="F30" s="93"/>
      <c r="G30" s="8">
        <v>6455021</v>
      </c>
      <c r="H30" s="93"/>
      <c r="I30" s="11">
        <v>176.74089784376105</v>
      </c>
      <c r="J30" s="7">
        <v>1</v>
      </c>
      <c r="K30" s="10">
        <f t="shared" si="1"/>
        <v>176.74089784376105</v>
      </c>
      <c r="L30" s="94"/>
      <c r="M30" s="95"/>
      <c r="N30" s="9">
        <v>13776.5</v>
      </c>
      <c r="O30" s="92"/>
      <c r="P30" s="8">
        <v>6.02E-6</v>
      </c>
      <c r="Q30" s="11">
        <v>4.2300000000000004</v>
      </c>
      <c r="R30" s="8" t="s">
        <v>39</v>
      </c>
      <c r="S30" s="11">
        <v>32.840000000000003</v>
      </c>
      <c r="T30" s="7">
        <v>33</v>
      </c>
      <c r="U30" s="7">
        <v>33</v>
      </c>
    </row>
    <row r="31" spans="1:21" x14ac:dyDescent="0.25">
      <c r="A31" s="5" t="s">
        <v>24</v>
      </c>
      <c r="B31" s="6" t="s">
        <v>6</v>
      </c>
      <c r="C31" s="7">
        <v>2</v>
      </c>
      <c r="D31" s="7" t="s">
        <v>56</v>
      </c>
      <c r="E31" s="8">
        <v>84554</v>
      </c>
      <c r="F31" s="93">
        <f>SUM(E31:E32)</f>
        <v>169596</v>
      </c>
      <c r="G31" s="8">
        <v>2437552</v>
      </c>
      <c r="H31" s="93">
        <f>SUM(G31:G32)</f>
        <v>8444035</v>
      </c>
      <c r="I31" s="11">
        <v>181.22508155128671</v>
      </c>
      <c r="J31" s="7">
        <v>1</v>
      </c>
      <c r="K31" s="10">
        <f t="shared" si="1"/>
        <v>181.22508155128671</v>
      </c>
      <c r="L31" s="94">
        <f>F31/H31</f>
        <v>2.0084710686301039E-2</v>
      </c>
      <c r="M31" s="95">
        <f>L31*K32</f>
        <v>3.6398533320589053</v>
      </c>
      <c r="N31" s="9">
        <v>13776.5</v>
      </c>
      <c r="O31" s="92">
        <f>M31*N31/1000000</f>
        <v>5.0144439429109511E-2</v>
      </c>
      <c r="P31" s="8">
        <v>5.6199999999999997E-5</v>
      </c>
      <c r="Q31" s="11">
        <v>3.5</v>
      </c>
      <c r="R31" s="8" t="s">
        <v>39</v>
      </c>
      <c r="S31" s="11">
        <v>31.7</v>
      </c>
      <c r="T31" s="7">
        <v>28</v>
      </c>
      <c r="U31" s="7">
        <v>28</v>
      </c>
    </row>
    <row r="32" spans="1:21" x14ac:dyDescent="0.25">
      <c r="A32" s="5" t="s">
        <v>24</v>
      </c>
      <c r="B32" s="6" t="s">
        <v>8</v>
      </c>
      <c r="C32" s="7">
        <v>2</v>
      </c>
      <c r="D32" s="7" t="s">
        <v>56</v>
      </c>
      <c r="E32" s="8">
        <v>85042</v>
      </c>
      <c r="F32" s="93"/>
      <c r="G32" s="8">
        <v>6006483</v>
      </c>
      <c r="H32" s="93"/>
      <c r="I32" s="11">
        <v>181.22508155128671</v>
      </c>
      <c r="J32" s="7">
        <v>1</v>
      </c>
      <c r="K32" s="10">
        <f t="shared" si="1"/>
        <v>181.22508155128671</v>
      </c>
      <c r="L32" s="94"/>
      <c r="M32" s="95"/>
      <c r="N32" s="9">
        <v>13776.5</v>
      </c>
      <c r="O32" s="92"/>
      <c r="P32" s="8">
        <v>8.3899999999999993E-6</v>
      </c>
      <c r="Q32" s="11">
        <v>4.1399999999999997</v>
      </c>
      <c r="R32" s="8" t="s">
        <v>39</v>
      </c>
      <c r="S32" s="11">
        <v>32.99</v>
      </c>
      <c r="T32" s="7">
        <v>35</v>
      </c>
      <c r="U32" s="7">
        <v>35</v>
      </c>
    </row>
    <row r="33" spans="1:21" x14ac:dyDescent="0.25">
      <c r="A33" s="5" t="s">
        <v>24</v>
      </c>
      <c r="B33" s="6" t="s">
        <v>6</v>
      </c>
      <c r="C33" s="7">
        <v>2</v>
      </c>
      <c r="D33" s="7" t="s">
        <v>57</v>
      </c>
      <c r="E33" s="8">
        <v>83219</v>
      </c>
      <c r="F33" s="93">
        <f>SUM(E33:E34)</f>
        <v>162078</v>
      </c>
      <c r="G33" s="8">
        <v>2792825</v>
      </c>
      <c r="H33" s="93">
        <f>SUM(G33:G34)</f>
        <v>9034850</v>
      </c>
      <c r="I33" s="11">
        <v>173.79214459506429</v>
      </c>
      <c r="J33" s="7">
        <v>1</v>
      </c>
      <c r="K33" s="10">
        <f t="shared" si="1"/>
        <v>173.79214459506429</v>
      </c>
      <c r="L33" s="94">
        <f>F33/H33</f>
        <v>1.7939202089686048E-2</v>
      </c>
      <c r="M33" s="95">
        <f>L33*K34</f>
        <v>3.1176924034907971</v>
      </c>
      <c r="N33" s="9">
        <v>13776.5</v>
      </c>
      <c r="O33" s="92">
        <f>M33*N33/1000000</f>
        <v>4.2950889396690964E-2</v>
      </c>
      <c r="P33" s="8">
        <v>5.7800000000000002E-5</v>
      </c>
      <c r="Q33" s="11">
        <v>3.48</v>
      </c>
      <c r="R33" s="8" t="s">
        <v>39</v>
      </c>
      <c r="S33" s="11">
        <v>31.98</v>
      </c>
      <c r="T33" s="7">
        <v>27</v>
      </c>
      <c r="U33" s="7">
        <v>27</v>
      </c>
    </row>
    <row r="34" spans="1:21" x14ac:dyDescent="0.25">
      <c r="A34" s="5" t="s">
        <v>24</v>
      </c>
      <c r="B34" s="6" t="s">
        <v>8</v>
      </c>
      <c r="C34" s="7">
        <v>2</v>
      </c>
      <c r="D34" s="7" t="s">
        <v>57</v>
      </c>
      <c r="E34" s="8">
        <v>78859</v>
      </c>
      <c r="F34" s="93"/>
      <c r="G34" s="8">
        <v>6242025</v>
      </c>
      <c r="H34" s="93"/>
      <c r="I34" s="11">
        <v>173.79214459506429</v>
      </c>
      <c r="J34" s="7">
        <v>1</v>
      </c>
      <c r="K34" s="10">
        <f t="shared" si="1"/>
        <v>173.79214459506429</v>
      </c>
      <c r="L34" s="94"/>
      <c r="M34" s="95"/>
      <c r="N34" s="9">
        <v>13776.5</v>
      </c>
      <c r="O34" s="92"/>
      <c r="P34" s="8">
        <v>9.7899999999999994E-6</v>
      </c>
      <c r="Q34" s="11">
        <v>4.0999999999999996</v>
      </c>
      <c r="R34" s="8" t="s">
        <v>39</v>
      </c>
      <c r="S34" s="11">
        <v>33.26</v>
      </c>
      <c r="T34" s="7">
        <v>34</v>
      </c>
      <c r="U34" s="7">
        <v>34</v>
      </c>
    </row>
    <row r="35" spans="1:21" x14ac:dyDescent="0.25">
      <c r="A35" s="5" t="s">
        <v>24</v>
      </c>
      <c r="B35" s="6" t="s">
        <v>6</v>
      </c>
      <c r="C35" s="7">
        <v>2</v>
      </c>
      <c r="D35" s="7" t="s">
        <v>54</v>
      </c>
      <c r="E35" s="8">
        <v>142594</v>
      </c>
      <c r="F35" s="93">
        <f>SUM(E35:E36)</f>
        <v>177314</v>
      </c>
      <c r="G35" s="8">
        <v>505993</v>
      </c>
      <c r="H35" s="93">
        <f>SUM(G35:G36)</f>
        <v>1432842</v>
      </c>
      <c r="I35" s="11">
        <v>146.79976512037581</v>
      </c>
      <c r="J35" s="7">
        <v>10</v>
      </c>
      <c r="K35" s="10">
        <f t="shared" si="1"/>
        <v>14.67997651203758</v>
      </c>
      <c r="L35" s="94">
        <f>F35/H35</f>
        <v>0.12374986216205276</v>
      </c>
      <c r="M35" s="95">
        <f>L35*K36</f>
        <v>1.8166450699068226</v>
      </c>
      <c r="N35" s="9">
        <v>13776.5</v>
      </c>
      <c r="O35" s="92">
        <f>M35*N35/1000000</f>
        <v>2.5027010805571341E-2</v>
      </c>
      <c r="P35" s="8">
        <v>1.3999999999999999E-4</v>
      </c>
      <c r="Q35" s="11">
        <v>3.14</v>
      </c>
      <c r="R35" s="8" t="s">
        <v>39</v>
      </c>
      <c r="S35" s="11">
        <v>31.21</v>
      </c>
      <c r="T35" s="7">
        <v>29</v>
      </c>
      <c r="U35" s="7">
        <v>29</v>
      </c>
    </row>
    <row r="36" spans="1:21" x14ac:dyDescent="0.25">
      <c r="A36" s="5" t="s">
        <v>24</v>
      </c>
      <c r="B36" s="6" t="s">
        <v>8</v>
      </c>
      <c r="C36" s="7">
        <v>2</v>
      </c>
      <c r="D36" s="7" t="s">
        <v>54</v>
      </c>
      <c r="E36" s="8">
        <v>34720</v>
      </c>
      <c r="F36" s="93"/>
      <c r="G36" s="8">
        <v>926849</v>
      </c>
      <c r="H36" s="93"/>
      <c r="I36" s="11">
        <v>146.79976512037581</v>
      </c>
      <c r="J36" s="7">
        <v>10</v>
      </c>
      <c r="K36" s="10">
        <f t="shared" si="1"/>
        <v>14.67997651203758</v>
      </c>
      <c r="L36" s="94"/>
      <c r="M36" s="95"/>
      <c r="N36" s="9">
        <v>13776.5</v>
      </c>
      <c r="O36" s="92"/>
      <c r="P36" s="8">
        <v>1.9599999999999999E-3</v>
      </c>
      <c r="Q36" s="11">
        <v>2.08</v>
      </c>
      <c r="R36" s="8" t="s">
        <v>39</v>
      </c>
      <c r="S36" s="11">
        <v>32.799999999999997</v>
      </c>
      <c r="T36" s="7">
        <v>29</v>
      </c>
      <c r="U36" s="7">
        <v>29</v>
      </c>
    </row>
    <row r="37" spans="1:21" x14ac:dyDescent="0.25">
      <c r="A37" s="5" t="s">
        <v>24</v>
      </c>
      <c r="B37" s="6" t="s">
        <v>6</v>
      </c>
      <c r="C37" s="7">
        <v>2</v>
      </c>
      <c r="D37" s="7" t="s">
        <v>55</v>
      </c>
      <c r="E37" s="8">
        <v>174757</v>
      </c>
      <c r="F37" s="93">
        <f>SUM(E37:E38)</f>
        <v>213492</v>
      </c>
      <c r="G37" s="8">
        <v>643245</v>
      </c>
      <c r="H37" s="93">
        <f>SUM(G37:G38)</f>
        <v>1952079</v>
      </c>
      <c r="I37" s="11">
        <v>176.74089784376105</v>
      </c>
      <c r="J37" s="7">
        <v>10</v>
      </c>
      <c r="K37" s="10">
        <f t="shared" si="1"/>
        <v>17.674089784376104</v>
      </c>
      <c r="L37" s="94">
        <f>F37/H37</f>
        <v>0.10936647543465197</v>
      </c>
      <c r="M37" s="95">
        <f>L37*K38</f>
        <v>1.9329529062328026</v>
      </c>
      <c r="N37" s="9">
        <v>13776.5</v>
      </c>
      <c r="O37" s="92">
        <f>M37*N37/1000000</f>
        <v>2.6629325712716204E-2</v>
      </c>
      <c r="P37" s="8">
        <v>1.3799999999999999E-4</v>
      </c>
      <c r="Q37" s="11">
        <v>3.15</v>
      </c>
      <c r="R37" s="8" t="s">
        <v>39</v>
      </c>
      <c r="S37" s="11">
        <v>30.94</v>
      </c>
      <c r="T37" s="7">
        <v>29</v>
      </c>
      <c r="U37" s="7">
        <v>29</v>
      </c>
    </row>
    <row r="38" spans="1:21" x14ac:dyDescent="0.25">
      <c r="A38" s="5" t="s">
        <v>24</v>
      </c>
      <c r="B38" s="6" t="s">
        <v>8</v>
      </c>
      <c r="C38" s="7">
        <v>2</v>
      </c>
      <c r="D38" s="7" t="s">
        <v>55</v>
      </c>
      <c r="E38" s="8">
        <v>38735</v>
      </c>
      <c r="F38" s="93"/>
      <c r="G38" s="8">
        <v>1308834</v>
      </c>
      <c r="H38" s="93"/>
      <c r="I38" s="11">
        <v>176.74089784376105</v>
      </c>
      <c r="J38" s="7">
        <v>10</v>
      </c>
      <c r="K38" s="10">
        <f t="shared" si="1"/>
        <v>17.674089784376104</v>
      </c>
      <c r="L38" s="94"/>
      <c r="M38" s="95"/>
      <c r="N38" s="9">
        <v>13776.5</v>
      </c>
      <c r="O38" s="92"/>
      <c r="P38" s="8">
        <v>3.5500000000000002E-3</v>
      </c>
      <c r="Q38" s="11">
        <v>1.8</v>
      </c>
      <c r="R38" s="8" t="s">
        <v>40</v>
      </c>
      <c r="S38" s="11">
        <v>32.53</v>
      </c>
      <c r="T38" s="7">
        <v>26</v>
      </c>
      <c r="U38" s="7">
        <v>26</v>
      </c>
    </row>
    <row r="39" spans="1:21" x14ac:dyDescent="0.25">
      <c r="A39" s="5" t="s">
        <v>24</v>
      </c>
      <c r="B39" s="6" t="s">
        <v>6</v>
      </c>
      <c r="C39" s="7">
        <v>2</v>
      </c>
      <c r="D39" s="7" t="s">
        <v>56</v>
      </c>
      <c r="E39" s="8">
        <v>188958</v>
      </c>
      <c r="F39" s="93">
        <f>SUM(E39:E40)</f>
        <v>242141</v>
      </c>
      <c r="G39" s="8">
        <v>703422</v>
      </c>
      <c r="H39" s="93">
        <f>SUM(G39:G40)</f>
        <v>2185106</v>
      </c>
      <c r="I39" s="11">
        <v>181.22508155128671</v>
      </c>
      <c r="J39" s="7">
        <v>10</v>
      </c>
      <c r="K39" s="10">
        <f t="shared" si="1"/>
        <v>18.122508155128671</v>
      </c>
      <c r="L39" s="94">
        <f>F39/H39</f>
        <v>0.1108143037454476</v>
      </c>
      <c r="M39" s="95">
        <f>L39*K40</f>
        <v>2.0082331233317796</v>
      </c>
      <c r="N39" s="9">
        <v>13776.5</v>
      </c>
      <c r="O39" s="92">
        <f>M39*N39/1000000</f>
        <v>2.7666423623580259E-2</v>
      </c>
      <c r="P39" s="8">
        <v>1.4200000000000001E-4</v>
      </c>
      <c r="Q39" s="11">
        <v>3.14</v>
      </c>
      <c r="R39" s="8" t="s">
        <v>39</v>
      </c>
      <c r="S39" s="11">
        <v>31.32</v>
      </c>
      <c r="T39" s="7">
        <v>27</v>
      </c>
      <c r="U39" s="7">
        <v>27</v>
      </c>
    </row>
    <row r="40" spans="1:21" x14ac:dyDescent="0.25">
      <c r="A40" s="5" t="s">
        <v>24</v>
      </c>
      <c r="B40" s="6" t="s">
        <v>8</v>
      </c>
      <c r="C40" s="7">
        <v>2</v>
      </c>
      <c r="D40" s="7" t="s">
        <v>56</v>
      </c>
      <c r="E40" s="8">
        <v>53183</v>
      </c>
      <c r="F40" s="93"/>
      <c r="G40" s="8">
        <v>1481684</v>
      </c>
      <c r="H40" s="93"/>
      <c r="I40" s="11">
        <v>181.22508155128671</v>
      </c>
      <c r="J40" s="7">
        <v>10</v>
      </c>
      <c r="K40" s="10">
        <f t="shared" si="1"/>
        <v>18.122508155128671</v>
      </c>
      <c r="L40" s="94"/>
      <c r="M40" s="95"/>
      <c r="N40" s="9">
        <v>13776.5</v>
      </c>
      <c r="O40" s="92"/>
      <c r="P40" s="8">
        <v>7.0200000000000004E-4</v>
      </c>
      <c r="Q40" s="11">
        <v>2.54</v>
      </c>
      <c r="R40" s="8" t="s">
        <v>39</v>
      </c>
      <c r="S40" s="11">
        <v>33.049999999999997</v>
      </c>
      <c r="T40" s="7">
        <v>25</v>
      </c>
      <c r="U40" s="7">
        <v>25</v>
      </c>
    </row>
    <row r="41" spans="1:21" x14ac:dyDescent="0.25">
      <c r="A41" s="5" t="s">
        <v>24</v>
      </c>
      <c r="B41" s="6" t="s">
        <v>6</v>
      </c>
      <c r="C41" s="7">
        <v>2</v>
      </c>
      <c r="D41" s="7" t="s">
        <v>57</v>
      </c>
      <c r="E41" s="8">
        <v>172288</v>
      </c>
      <c r="F41" s="93">
        <f>SUM(E41:E42)</f>
        <v>225762</v>
      </c>
      <c r="G41" s="8">
        <v>644177</v>
      </c>
      <c r="H41" s="93">
        <f>SUM(G41:G42)</f>
        <v>2056265</v>
      </c>
      <c r="I41" s="11">
        <v>173.79214459506429</v>
      </c>
      <c r="J41" s="7">
        <v>10</v>
      </c>
      <c r="K41" s="10">
        <f t="shared" si="1"/>
        <v>17.379214459506429</v>
      </c>
      <c r="L41" s="94">
        <f>F41/H41</f>
        <v>0.10979226899256662</v>
      </c>
      <c r="M41" s="95">
        <f>L41*K42</f>
        <v>1.9081033888176331</v>
      </c>
      <c r="N41" s="9">
        <v>13776.5</v>
      </c>
      <c r="O41" s="92">
        <f>M41*N41/1000000</f>
        <v>2.628698633604612E-2</v>
      </c>
      <c r="P41" s="8">
        <v>3.1E-4</v>
      </c>
      <c r="Q41" s="11">
        <v>2.87</v>
      </c>
      <c r="R41" s="8" t="s">
        <v>39</v>
      </c>
      <c r="S41" s="11">
        <v>31.32</v>
      </c>
      <c r="T41" s="7">
        <v>29</v>
      </c>
      <c r="U41" s="7">
        <v>29</v>
      </c>
    </row>
    <row r="42" spans="1:21" x14ac:dyDescent="0.25">
      <c r="A42" s="5" t="s">
        <v>24</v>
      </c>
      <c r="B42" s="6" t="s">
        <v>8</v>
      </c>
      <c r="C42" s="7">
        <v>2</v>
      </c>
      <c r="D42" s="7" t="s">
        <v>57</v>
      </c>
      <c r="E42" s="8">
        <v>53474</v>
      </c>
      <c r="F42" s="93"/>
      <c r="G42" s="8">
        <v>1412088</v>
      </c>
      <c r="H42" s="93"/>
      <c r="I42" s="11">
        <v>173.79214459506429</v>
      </c>
      <c r="J42" s="7">
        <v>10</v>
      </c>
      <c r="K42" s="10">
        <f t="shared" si="1"/>
        <v>17.379214459506429</v>
      </c>
      <c r="L42" s="94"/>
      <c r="M42" s="95"/>
      <c r="N42" s="9">
        <v>13776.5</v>
      </c>
      <c r="O42" s="92"/>
      <c r="P42" s="8">
        <v>1.5100000000000001E-4</v>
      </c>
      <c r="Q42" s="11">
        <v>3.11</v>
      </c>
      <c r="R42" s="8" t="s">
        <v>39</v>
      </c>
      <c r="S42" s="11">
        <v>32.799999999999997</v>
      </c>
      <c r="T42" s="7">
        <v>32</v>
      </c>
      <c r="U42" s="7">
        <v>32</v>
      </c>
    </row>
    <row r="43" spans="1:21" x14ac:dyDescent="0.25">
      <c r="A43" s="5" t="s">
        <v>24</v>
      </c>
      <c r="B43" s="6" t="s">
        <v>6</v>
      </c>
      <c r="C43" s="7">
        <v>2</v>
      </c>
      <c r="D43" s="7" t="s">
        <v>54</v>
      </c>
      <c r="E43" s="8">
        <v>113621</v>
      </c>
      <c r="F43" s="93">
        <f>SUM(E43:E44)</f>
        <v>162979</v>
      </c>
      <c r="G43" s="8">
        <v>49176</v>
      </c>
      <c r="H43" s="93">
        <f>SUM(G43:G44)</f>
        <v>174401</v>
      </c>
      <c r="I43" s="11">
        <v>146.79976512037581</v>
      </c>
      <c r="J43" s="7">
        <v>100</v>
      </c>
      <c r="K43" s="10">
        <f t="shared" si="1"/>
        <v>1.467997651203758</v>
      </c>
      <c r="L43" s="94">
        <f>F43/H43</f>
        <v>0.93450725626573239</v>
      </c>
      <c r="M43" s="95">
        <f>L43*K44</f>
        <v>1.3718544572309634</v>
      </c>
      <c r="N43" s="9">
        <v>13776.5</v>
      </c>
      <c r="O43" s="92">
        <f>M43*N43/1000000</f>
        <v>1.8899352930042367E-2</v>
      </c>
      <c r="P43" s="8">
        <v>6.5700000000000003E-4</v>
      </c>
      <c r="Q43" s="11">
        <v>2.56</v>
      </c>
      <c r="R43" s="8" t="s">
        <v>39</v>
      </c>
      <c r="S43" s="11">
        <v>31.23</v>
      </c>
      <c r="T43" s="7">
        <v>20</v>
      </c>
      <c r="U43" s="7">
        <v>20</v>
      </c>
    </row>
    <row r="44" spans="1:21" x14ac:dyDescent="0.25">
      <c r="A44" s="5" t="s">
        <v>24</v>
      </c>
      <c r="B44" s="6" t="s">
        <v>8</v>
      </c>
      <c r="C44" s="7">
        <v>2</v>
      </c>
      <c r="D44" s="7" t="s">
        <v>54</v>
      </c>
      <c r="E44" s="8">
        <v>49358</v>
      </c>
      <c r="F44" s="93"/>
      <c r="G44" s="8">
        <v>125225</v>
      </c>
      <c r="H44" s="93"/>
      <c r="I44" s="11">
        <v>146.79976512037581</v>
      </c>
      <c r="J44" s="7">
        <v>100</v>
      </c>
      <c r="K44" s="10">
        <f t="shared" si="1"/>
        <v>1.467997651203758</v>
      </c>
      <c r="L44" s="94"/>
      <c r="M44" s="95"/>
      <c r="N44" s="9">
        <v>13776.5</v>
      </c>
      <c r="O44" s="92"/>
      <c r="P44" s="8">
        <v>1.0800000000000001E-2</v>
      </c>
      <c r="Q44" s="11">
        <v>1.2</v>
      </c>
      <c r="R44" s="8" t="s">
        <v>39</v>
      </c>
      <c r="S44" s="11">
        <v>32.659999999999997</v>
      </c>
      <c r="T44" s="7">
        <v>28</v>
      </c>
      <c r="U44" s="7">
        <v>28</v>
      </c>
    </row>
    <row r="45" spans="1:21" x14ac:dyDescent="0.25">
      <c r="A45" s="5" t="s">
        <v>24</v>
      </c>
      <c r="B45" s="6" t="s">
        <v>6</v>
      </c>
      <c r="C45" s="7">
        <v>2</v>
      </c>
      <c r="D45" s="7" t="s">
        <v>55</v>
      </c>
      <c r="E45" s="8">
        <v>133275</v>
      </c>
      <c r="F45" s="93">
        <f>SUM(E45:E46)</f>
        <v>162583</v>
      </c>
      <c r="G45" s="8">
        <v>55245</v>
      </c>
      <c r="H45" s="93">
        <f>SUM(G45:G46)</f>
        <v>173843</v>
      </c>
      <c r="I45" s="11">
        <v>176.74089784376105</v>
      </c>
      <c r="J45" s="7">
        <v>100</v>
      </c>
      <c r="K45" s="10">
        <f t="shared" si="1"/>
        <v>1.7674089784376106</v>
      </c>
      <c r="L45" s="94">
        <f>F45/H45</f>
        <v>0.9352289134448899</v>
      </c>
      <c r="M45" s="95">
        <f>L45*K46</f>
        <v>1.6529319785169494</v>
      </c>
      <c r="N45" s="9">
        <v>13776.5</v>
      </c>
      <c r="O45" s="92">
        <f>M45*N45/1000000</f>
        <v>2.277161740203875E-2</v>
      </c>
      <c r="P45" s="8">
        <v>6.2E-4</v>
      </c>
      <c r="Q45" s="11">
        <v>2.58</v>
      </c>
      <c r="R45" s="8" t="s">
        <v>39</v>
      </c>
      <c r="S45" s="11">
        <v>31.13</v>
      </c>
      <c r="T45" s="7">
        <v>18</v>
      </c>
      <c r="U45" s="7">
        <v>18</v>
      </c>
    </row>
    <row r="46" spans="1:21" x14ac:dyDescent="0.25">
      <c r="A46" s="5" t="s">
        <v>24</v>
      </c>
      <c r="B46" s="6" t="s">
        <v>8</v>
      </c>
      <c r="C46" s="7">
        <v>2</v>
      </c>
      <c r="D46" s="7" t="s">
        <v>55</v>
      </c>
      <c r="E46" s="8">
        <v>29308</v>
      </c>
      <c r="F46" s="93"/>
      <c r="G46" s="8">
        <v>118598</v>
      </c>
      <c r="H46" s="93"/>
      <c r="I46" s="11">
        <v>176.74089784376105</v>
      </c>
      <c r="J46" s="7">
        <v>100</v>
      </c>
      <c r="K46" s="10">
        <f t="shared" si="1"/>
        <v>1.7674089784376106</v>
      </c>
      <c r="L46" s="94"/>
      <c r="M46" s="95"/>
      <c r="N46" s="9">
        <v>13776.5</v>
      </c>
      <c r="O46" s="92"/>
      <c r="P46" s="8">
        <v>1.1299999999999999E-3</v>
      </c>
      <c r="Q46" s="11">
        <v>2.31</v>
      </c>
      <c r="R46" s="8" t="s">
        <v>39</v>
      </c>
      <c r="S46" s="11">
        <v>32.869999999999997</v>
      </c>
      <c r="T46" s="7">
        <v>21</v>
      </c>
      <c r="U46" s="7">
        <v>21</v>
      </c>
    </row>
    <row r="47" spans="1:21" x14ac:dyDescent="0.25">
      <c r="A47" s="5" t="s">
        <v>24</v>
      </c>
      <c r="B47" s="6" t="s">
        <v>6</v>
      </c>
      <c r="C47" s="7">
        <v>2</v>
      </c>
      <c r="D47" s="7" t="s">
        <v>56</v>
      </c>
      <c r="E47" s="8">
        <v>159382</v>
      </c>
      <c r="F47" s="93">
        <f>SUM(E47:E48)</f>
        <v>239303</v>
      </c>
      <c r="G47" s="8">
        <v>81180</v>
      </c>
      <c r="H47" s="93">
        <f>SUM(G47:G48)</f>
        <v>278537</v>
      </c>
      <c r="I47" s="11">
        <v>181.22508155128671</v>
      </c>
      <c r="J47" s="7">
        <v>100</v>
      </c>
      <c r="K47" s="10">
        <f t="shared" si="1"/>
        <v>1.8122508155128672</v>
      </c>
      <c r="L47" s="94">
        <f>F47/H47</f>
        <v>0.85914259146899696</v>
      </c>
      <c r="M47" s="95">
        <f>L47*K48</f>
        <v>1.5569818620315279</v>
      </c>
      <c r="N47" s="9">
        <v>13776.5</v>
      </c>
      <c r="O47" s="92">
        <f>M47*N47/1000000</f>
        <v>2.1449760622277343E-2</v>
      </c>
      <c r="P47" s="8">
        <v>5.4100000000000003E-4</v>
      </c>
      <c r="Q47" s="11">
        <v>2.65</v>
      </c>
      <c r="R47" s="8" t="s">
        <v>39</v>
      </c>
      <c r="S47" s="11">
        <v>31.62</v>
      </c>
      <c r="T47" s="7">
        <v>16</v>
      </c>
      <c r="U47" s="7">
        <v>16</v>
      </c>
    </row>
    <row r="48" spans="1:21" x14ac:dyDescent="0.25">
      <c r="A48" s="5" t="s">
        <v>24</v>
      </c>
      <c r="B48" s="6" t="s">
        <v>8</v>
      </c>
      <c r="C48" s="7">
        <v>2</v>
      </c>
      <c r="D48" s="7" t="s">
        <v>56</v>
      </c>
      <c r="E48" s="8">
        <v>79921</v>
      </c>
      <c r="F48" s="93"/>
      <c r="G48" s="8">
        <v>197357</v>
      </c>
      <c r="H48" s="93"/>
      <c r="I48" s="11">
        <v>181.22508155128671</v>
      </c>
      <c r="J48" s="7">
        <v>100</v>
      </c>
      <c r="K48" s="10">
        <f t="shared" si="1"/>
        <v>1.8122508155128672</v>
      </c>
      <c r="L48" s="94"/>
      <c r="M48" s="95"/>
      <c r="N48" s="9">
        <v>13776.5</v>
      </c>
      <c r="O48" s="92"/>
      <c r="P48" s="8">
        <v>6.6E-4</v>
      </c>
      <c r="Q48" s="11">
        <v>2.56</v>
      </c>
      <c r="R48" s="8" t="s">
        <v>39</v>
      </c>
      <c r="S48" s="11">
        <v>33.15</v>
      </c>
      <c r="T48" s="7">
        <v>26</v>
      </c>
      <c r="U48" s="7">
        <v>26</v>
      </c>
    </row>
    <row r="49" spans="1:21" x14ac:dyDescent="0.25">
      <c r="A49" s="5" t="s">
        <v>24</v>
      </c>
      <c r="B49" s="6" t="s">
        <v>6</v>
      </c>
      <c r="C49" s="7">
        <v>2</v>
      </c>
      <c r="D49" s="7" t="s">
        <v>57</v>
      </c>
      <c r="E49" s="8">
        <v>113692</v>
      </c>
      <c r="F49" s="93">
        <f>SUM(E49:E50)</f>
        <v>141096</v>
      </c>
      <c r="G49" s="8">
        <v>55703</v>
      </c>
      <c r="H49" s="93">
        <f>SUM(G49:G50)</f>
        <v>178463</v>
      </c>
      <c r="I49" s="11">
        <v>173.79214459506429</v>
      </c>
      <c r="J49" s="7">
        <v>100</v>
      </c>
      <c r="K49" s="10">
        <f t="shared" si="1"/>
        <v>1.7379214459506429</v>
      </c>
      <c r="L49" s="94">
        <f>F49/H49</f>
        <v>0.79061766304500092</v>
      </c>
      <c r="M49" s="95">
        <f>L49*K50</f>
        <v>1.3740313921532861</v>
      </c>
      <c r="N49" s="9">
        <v>13776.5</v>
      </c>
      <c r="O49" s="92">
        <f>M49*N49/1000000</f>
        <v>1.8929343473999747E-2</v>
      </c>
      <c r="P49" s="8">
        <v>1.58E-3</v>
      </c>
      <c r="Q49" s="11">
        <v>2.17</v>
      </c>
      <c r="R49" s="8" t="s">
        <v>40</v>
      </c>
      <c r="S49" s="11">
        <v>31.51</v>
      </c>
      <c r="T49" s="7">
        <v>19</v>
      </c>
      <c r="U49" s="7">
        <v>19</v>
      </c>
    </row>
    <row r="50" spans="1:21" x14ac:dyDescent="0.25">
      <c r="A50" s="5" t="s">
        <v>24</v>
      </c>
      <c r="B50" s="6" t="s">
        <v>8</v>
      </c>
      <c r="C50" s="7">
        <v>2</v>
      </c>
      <c r="D50" s="7" t="s">
        <v>57</v>
      </c>
      <c r="E50" s="8">
        <v>27404</v>
      </c>
      <c r="F50" s="93"/>
      <c r="G50" s="8">
        <v>122760</v>
      </c>
      <c r="H50" s="93"/>
      <c r="I50" s="11">
        <v>173.79214459506429</v>
      </c>
      <c r="J50" s="7">
        <v>100</v>
      </c>
      <c r="K50" s="10">
        <f t="shared" si="1"/>
        <v>1.7379214459506429</v>
      </c>
      <c r="L50" s="94"/>
      <c r="M50" s="95"/>
      <c r="N50" s="9">
        <v>13776.5</v>
      </c>
      <c r="O50" s="92"/>
      <c r="P50" s="8">
        <v>8.5300000000000003E-4</v>
      </c>
      <c r="Q50" s="11">
        <v>2.44</v>
      </c>
      <c r="R50" s="8" t="s">
        <v>39</v>
      </c>
      <c r="S50" s="11">
        <v>32.869999999999997</v>
      </c>
      <c r="T50" s="7">
        <v>23</v>
      </c>
      <c r="U50" s="7">
        <v>23</v>
      </c>
    </row>
    <row r="51" spans="1:21" x14ac:dyDescent="0.25">
      <c r="A51" s="5" t="s">
        <v>24</v>
      </c>
      <c r="B51" s="6" t="s">
        <v>6</v>
      </c>
      <c r="C51" s="7">
        <v>3</v>
      </c>
      <c r="D51" s="7" t="s">
        <v>54</v>
      </c>
      <c r="E51" s="8">
        <v>266271</v>
      </c>
      <c r="F51" s="93">
        <f>SUM(E51:E52)</f>
        <v>606989</v>
      </c>
      <c r="G51" s="8">
        <v>8767958</v>
      </c>
      <c r="H51" s="93">
        <f>SUM(G51:G52)</f>
        <v>42284506</v>
      </c>
      <c r="I51" s="11">
        <v>146.79976512037581</v>
      </c>
      <c r="J51" s="7">
        <v>1</v>
      </c>
      <c r="K51" s="10">
        <f t="shared" si="1"/>
        <v>146.79976512037581</v>
      </c>
      <c r="L51" s="94">
        <f>F51/H51</f>
        <v>1.4354879775584939E-2</v>
      </c>
      <c r="M51" s="95">
        <f>L51*K52</f>
        <v>2.1072929793871022</v>
      </c>
      <c r="N51" s="9">
        <v>13776.5</v>
      </c>
      <c r="O51" s="92">
        <f>M51*N51/1000000</f>
        <v>2.9031121730526414E-2</v>
      </c>
      <c r="P51" s="8">
        <v>6.86E-5</v>
      </c>
      <c r="Q51" s="11">
        <v>3.4</v>
      </c>
      <c r="R51" s="12" t="s">
        <v>39</v>
      </c>
      <c r="S51" s="11">
        <v>31.85</v>
      </c>
      <c r="T51" s="7">
        <v>27</v>
      </c>
      <c r="U51" s="7">
        <v>27</v>
      </c>
    </row>
    <row r="52" spans="1:21" x14ac:dyDescent="0.25">
      <c r="A52" s="5" t="s">
        <v>24</v>
      </c>
      <c r="B52" s="6" t="s">
        <v>8</v>
      </c>
      <c r="C52" s="7">
        <v>3</v>
      </c>
      <c r="D52" s="7" t="s">
        <v>54</v>
      </c>
      <c r="E52" s="8">
        <v>340718</v>
      </c>
      <c r="F52" s="93"/>
      <c r="G52" s="8">
        <v>33516548</v>
      </c>
      <c r="H52" s="93"/>
      <c r="I52" s="11">
        <v>146.79976512037581</v>
      </c>
      <c r="J52" s="7">
        <v>1</v>
      </c>
      <c r="K52" s="10">
        <f t="shared" si="1"/>
        <v>146.79976512037581</v>
      </c>
      <c r="L52" s="94"/>
      <c r="M52" s="95"/>
      <c r="N52" s="9">
        <v>13776.5</v>
      </c>
      <c r="O52" s="92"/>
      <c r="P52" s="8">
        <v>6.6900000000000003E-6</v>
      </c>
      <c r="Q52" s="11">
        <v>4.2</v>
      </c>
      <c r="R52" s="12" t="s">
        <v>39</v>
      </c>
      <c r="S52" s="11">
        <v>32.950000000000003</v>
      </c>
      <c r="T52" s="7">
        <v>30</v>
      </c>
      <c r="U52" s="7">
        <v>29</v>
      </c>
    </row>
    <row r="53" spans="1:21" x14ac:dyDescent="0.25">
      <c r="A53" s="5" t="s">
        <v>24</v>
      </c>
      <c r="B53" s="6" t="s">
        <v>6</v>
      </c>
      <c r="C53" s="7">
        <v>3</v>
      </c>
      <c r="D53" s="7" t="s">
        <v>55</v>
      </c>
      <c r="E53" s="8">
        <v>301342</v>
      </c>
      <c r="F53" s="93">
        <f>SUM(E53:E54)</f>
        <v>707668</v>
      </c>
      <c r="G53" s="8">
        <v>10364507</v>
      </c>
      <c r="H53" s="93">
        <f>SUM(G53:G54)</f>
        <v>47814027</v>
      </c>
      <c r="I53" s="11">
        <v>176.74089784376105</v>
      </c>
      <c r="J53" s="7">
        <v>1</v>
      </c>
      <c r="K53" s="10">
        <f t="shared" si="1"/>
        <v>176.74089784376105</v>
      </c>
      <c r="L53" s="94">
        <f>F53/H53</f>
        <v>1.4800426661406286E-2</v>
      </c>
      <c r="M53" s="95">
        <f>L53*K54</f>
        <v>2.6158406966076857</v>
      </c>
      <c r="N53" s="9">
        <v>13776.5</v>
      </c>
      <c r="O53" s="92">
        <f>M53*N53/1000000</f>
        <v>3.6037129356815786E-2</v>
      </c>
      <c r="P53" s="8">
        <v>5.5600000000000003E-5</v>
      </c>
      <c r="Q53" s="11">
        <v>3.5</v>
      </c>
      <c r="R53" s="12" t="s">
        <v>39</v>
      </c>
      <c r="S53" s="11">
        <v>31.41</v>
      </c>
      <c r="T53" s="7">
        <v>28</v>
      </c>
      <c r="U53" s="7">
        <v>28</v>
      </c>
    </row>
    <row r="54" spans="1:21" x14ac:dyDescent="0.25">
      <c r="A54" s="5" t="s">
        <v>24</v>
      </c>
      <c r="B54" s="6" t="s">
        <v>8</v>
      </c>
      <c r="C54" s="7">
        <v>3</v>
      </c>
      <c r="D54" s="7" t="s">
        <v>55</v>
      </c>
      <c r="E54" s="8">
        <v>406326</v>
      </c>
      <c r="F54" s="93"/>
      <c r="G54" s="8">
        <v>37449520</v>
      </c>
      <c r="H54" s="93"/>
      <c r="I54" s="11">
        <v>176.74089784376105</v>
      </c>
      <c r="J54" s="7">
        <v>1</v>
      </c>
      <c r="K54" s="10">
        <f t="shared" si="1"/>
        <v>176.74089784376105</v>
      </c>
      <c r="L54" s="94"/>
      <c r="M54" s="95"/>
      <c r="N54" s="9">
        <v>13776.5</v>
      </c>
      <c r="O54" s="92"/>
      <c r="P54" s="8">
        <v>6.02E-6</v>
      </c>
      <c r="Q54" s="11">
        <v>4.2300000000000004</v>
      </c>
      <c r="R54" s="12" t="s">
        <v>39</v>
      </c>
      <c r="S54" s="11">
        <v>32.68</v>
      </c>
      <c r="T54" s="7">
        <v>33</v>
      </c>
      <c r="U54" s="7">
        <v>33</v>
      </c>
    </row>
    <row r="55" spans="1:21" x14ac:dyDescent="0.25">
      <c r="A55" s="5" t="s">
        <v>24</v>
      </c>
      <c r="B55" s="6" t="s">
        <v>6</v>
      </c>
      <c r="C55" s="7">
        <v>3</v>
      </c>
      <c r="D55" s="7" t="s">
        <v>56</v>
      </c>
      <c r="E55" s="8">
        <v>236325</v>
      </c>
      <c r="F55" s="93">
        <f>SUM(E55:E56)</f>
        <v>587481</v>
      </c>
      <c r="G55" s="8">
        <v>8307466</v>
      </c>
      <c r="H55" s="93">
        <f>SUM(G55:G56)</f>
        <v>40683214</v>
      </c>
      <c r="I55" s="11">
        <v>181.22508155128671</v>
      </c>
      <c r="J55" s="7">
        <v>1</v>
      </c>
      <c r="K55" s="10">
        <f t="shared" si="1"/>
        <v>181.22508155128671</v>
      </c>
      <c r="L55" s="94">
        <f>F55/H55</f>
        <v>1.4440378284763834E-2</v>
      </c>
      <c r="M55" s="95">
        <f>L55*K56</f>
        <v>2.6169587322877557</v>
      </c>
      <c r="N55" s="9">
        <v>13776.5</v>
      </c>
      <c r="O55" s="92">
        <f>M55*N55/1000000</f>
        <v>3.6052531975362269E-2</v>
      </c>
      <c r="P55" s="8">
        <v>5.6199999999999997E-5</v>
      </c>
      <c r="Q55" s="11">
        <v>3.5</v>
      </c>
      <c r="R55" s="12" t="s">
        <v>39</v>
      </c>
      <c r="S55" s="11">
        <v>31.7</v>
      </c>
      <c r="T55" s="7">
        <v>28</v>
      </c>
      <c r="U55" s="7">
        <v>28</v>
      </c>
    </row>
    <row r="56" spans="1:21" x14ac:dyDescent="0.25">
      <c r="A56" s="5" t="s">
        <v>24</v>
      </c>
      <c r="B56" s="6" t="s">
        <v>8</v>
      </c>
      <c r="C56" s="7">
        <v>3</v>
      </c>
      <c r="D56" s="7" t="s">
        <v>56</v>
      </c>
      <c r="E56" s="8">
        <v>351156</v>
      </c>
      <c r="F56" s="93"/>
      <c r="G56" s="8">
        <v>32375748</v>
      </c>
      <c r="H56" s="93"/>
      <c r="I56" s="11">
        <v>181.22508155128671</v>
      </c>
      <c r="J56" s="7">
        <v>1</v>
      </c>
      <c r="K56" s="10">
        <f t="shared" si="1"/>
        <v>181.22508155128671</v>
      </c>
      <c r="L56" s="94"/>
      <c r="M56" s="95"/>
      <c r="N56" s="9">
        <v>13776.5</v>
      </c>
      <c r="O56" s="92"/>
      <c r="P56" s="8">
        <v>8.3899999999999993E-6</v>
      </c>
      <c r="Q56" s="11">
        <v>4.1399999999999997</v>
      </c>
      <c r="R56" s="12" t="s">
        <v>39</v>
      </c>
      <c r="S56" s="11">
        <v>32.840000000000003</v>
      </c>
      <c r="T56" s="7">
        <v>35</v>
      </c>
      <c r="U56" s="7">
        <v>34</v>
      </c>
    </row>
    <row r="57" spans="1:21" x14ac:dyDescent="0.25">
      <c r="A57" s="5" t="s">
        <v>24</v>
      </c>
      <c r="B57" s="6" t="s">
        <v>6</v>
      </c>
      <c r="C57" s="7">
        <v>3</v>
      </c>
      <c r="D57" s="7" t="s">
        <v>57</v>
      </c>
      <c r="E57" s="8">
        <v>273472</v>
      </c>
      <c r="F57" s="93">
        <f>SUM(E57:E58)</f>
        <v>640829</v>
      </c>
      <c r="G57" s="8">
        <v>9635962</v>
      </c>
      <c r="H57" s="93">
        <f>SUM(G57:G58)</f>
        <v>43820362</v>
      </c>
      <c r="I57" s="11">
        <v>173.79214459506429</v>
      </c>
      <c r="J57" s="7">
        <v>1</v>
      </c>
      <c r="K57" s="10">
        <f t="shared" si="1"/>
        <v>173.79214459506429</v>
      </c>
      <c r="L57" s="94">
        <f>F57/H57</f>
        <v>1.4624000595887364E-2</v>
      </c>
      <c r="M57" s="95">
        <f>L57*K58</f>
        <v>2.5415364261187632</v>
      </c>
      <c r="N57" s="9">
        <v>13776.5</v>
      </c>
      <c r="O57" s="92">
        <f>M57*N57/1000000</f>
        <v>3.5013476574425141E-2</v>
      </c>
      <c r="P57" s="8">
        <v>5.7800000000000002E-5</v>
      </c>
      <c r="Q57" s="11">
        <v>3.48</v>
      </c>
      <c r="R57" s="12" t="s">
        <v>39</v>
      </c>
      <c r="S57" s="11">
        <v>31.98</v>
      </c>
      <c r="T57" s="7">
        <v>27</v>
      </c>
      <c r="U57" s="7">
        <v>27</v>
      </c>
    </row>
    <row r="58" spans="1:21" x14ac:dyDescent="0.25">
      <c r="A58" s="5" t="s">
        <v>24</v>
      </c>
      <c r="B58" s="6" t="s">
        <v>8</v>
      </c>
      <c r="C58" s="7">
        <v>3</v>
      </c>
      <c r="D58" s="7" t="s">
        <v>57</v>
      </c>
      <c r="E58" s="8">
        <v>367357</v>
      </c>
      <c r="F58" s="93"/>
      <c r="G58" s="8">
        <v>34184400</v>
      </c>
      <c r="H58" s="93"/>
      <c r="I58" s="11">
        <v>173.79214459506429</v>
      </c>
      <c r="J58" s="7">
        <v>1</v>
      </c>
      <c r="K58" s="10">
        <f t="shared" si="1"/>
        <v>173.79214459506429</v>
      </c>
      <c r="L58" s="94"/>
      <c r="M58" s="95"/>
      <c r="N58" s="9">
        <v>13776.5</v>
      </c>
      <c r="O58" s="92"/>
      <c r="P58" s="8">
        <v>9.7899999999999994E-6</v>
      </c>
      <c r="Q58" s="11">
        <v>4.0999999999999996</v>
      </c>
      <c r="R58" s="12" t="s">
        <v>39</v>
      </c>
      <c r="S58" s="11">
        <v>33.11</v>
      </c>
      <c r="T58" s="7">
        <v>34</v>
      </c>
      <c r="U58" s="7">
        <v>33</v>
      </c>
    </row>
    <row r="59" spans="1:21" x14ac:dyDescent="0.25">
      <c r="A59" s="5" t="s">
        <v>24</v>
      </c>
      <c r="B59" s="6" t="s">
        <v>6</v>
      </c>
      <c r="C59" s="7">
        <v>3</v>
      </c>
      <c r="D59" s="7" t="s">
        <v>54</v>
      </c>
      <c r="E59" s="8">
        <v>275395</v>
      </c>
      <c r="F59" s="93">
        <f>SUM(E59:E60)</f>
        <v>363834</v>
      </c>
      <c r="G59" s="8">
        <v>988777</v>
      </c>
      <c r="H59" s="93">
        <f>SUM(G59:G60)</f>
        <v>3689397</v>
      </c>
      <c r="I59" s="11">
        <v>146.79976512037581</v>
      </c>
      <c r="J59" s="7">
        <v>10</v>
      </c>
      <c r="K59" s="10">
        <f t="shared" si="1"/>
        <v>14.67997651203758</v>
      </c>
      <c r="L59" s="94">
        <f>F59/H59</f>
        <v>9.8616115316405364E-2</v>
      </c>
      <c r="M59" s="95">
        <f>L59*K60</f>
        <v>1.4476822565532201</v>
      </c>
      <c r="N59" s="9">
        <v>13776.5</v>
      </c>
      <c r="O59" s="92">
        <f>M59*N59/1000000</f>
        <v>1.9943994607405438E-2</v>
      </c>
      <c r="P59" s="8">
        <v>1.3999999999999999E-4</v>
      </c>
      <c r="Q59" s="11">
        <v>3.14</v>
      </c>
      <c r="R59" s="12" t="s">
        <v>39</v>
      </c>
      <c r="S59" s="11">
        <v>31.21</v>
      </c>
      <c r="T59" s="7">
        <v>29</v>
      </c>
      <c r="U59" s="7">
        <v>29</v>
      </c>
    </row>
    <row r="60" spans="1:21" x14ac:dyDescent="0.25">
      <c r="A60" s="5" t="s">
        <v>24</v>
      </c>
      <c r="B60" s="6" t="s">
        <v>8</v>
      </c>
      <c r="C60" s="7">
        <v>3</v>
      </c>
      <c r="D60" s="7" t="s">
        <v>54</v>
      </c>
      <c r="E60" s="8">
        <v>88439</v>
      </c>
      <c r="F60" s="93"/>
      <c r="G60" s="8">
        <v>2700620</v>
      </c>
      <c r="H60" s="93"/>
      <c r="I60" s="11">
        <v>146.79976512037581</v>
      </c>
      <c r="J60" s="7">
        <v>10</v>
      </c>
      <c r="K60" s="10">
        <f t="shared" si="1"/>
        <v>14.67997651203758</v>
      </c>
      <c r="L60" s="94"/>
      <c r="M60" s="95"/>
      <c r="N60" s="9">
        <v>13776.5</v>
      </c>
      <c r="O60" s="92"/>
      <c r="P60" s="8">
        <v>1.9599999999999999E-3</v>
      </c>
      <c r="Q60" s="11">
        <v>2.08</v>
      </c>
      <c r="R60" s="12" t="s">
        <v>39</v>
      </c>
      <c r="S60" s="11">
        <v>32.700000000000003</v>
      </c>
      <c r="T60" s="7">
        <v>29</v>
      </c>
      <c r="U60" s="7">
        <v>29</v>
      </c>
    </row>
    <row r="61" spans="1:21" x14ac:dyDescent="0.25">
      <c r="A61" s="5" t="s">
        <v>24</v>
      </c>
      <c r="B61" s="6" t="s">
        <v>6</v>
      </c>
      <c r="C61" s="7">
        <v>3</v>
      </c>
      <c r="D61" s="7" t="s">
        <v>55</v>
      </c>
      <c r="E61" s="8">
        <v>385945</v>
      </c>
      <c r="F61" s="93">
        <f>SUM(E61:E62)</f>
        <v>492740</v>
      </c>
      <c r="G61" s="8">
        <v>1219312</v>
      </c>
      <c r="H61" s="93">
        <f>SUM(G61:G62)</f>
        <v>5088270</v>
      </c>
      <c r="I61" s="11">
        <v>176.74089784376105</v>
      </c>
      <c r="J61" s="7">
        <v>10</v>
      </c>
      <c r="K61" s="10">
        <f t="shared" si="1"/>
        <v>17.674089784376104</v>
      </c>
      <c r="L61" s="94">
        <f>F61/H61</f>
        <v>9.6838414628154554E-2</v>
      </c>
      <c r="M61" s="95">
        <f>L61*K62</f>
        <v>1.7115308347146438</v>
      </c>
      <c r="N61" s="9">
        <v>13776.5</v>
      </c>
      <c r="O61" s="92">
        <f>M61*N61/1000000</f>
        <v>2.3578904544446291E-2</v>
      </c>
      <c r="P61" s="8">
        <v>1.3799999999999999E-4</v>
      </c>
      <c r="Q61" s="11">
        <v>3.15</v>
      </c>
      <c r="R61" s="12" t="s">
        <v>39</v>
      </c>
      <c r="S61" s="11">
        <v>30.96</v>
      </c>
      <c r="T61" s="7">
        <v>29</v>
      </c>
      <c r="U61" s="7">
        <v>29</v>
      </c>
    </row>
    <row r="62" spans="1:21" x14ac:dyDescent="0.25">
      <c r="A62" s="5" t="s">
        <v>24</v>
      </c>
      <c r="B62" s="6" t="s">
        <v>8</v>
      </c>
      <c r="C62" s="7">
        <v>3</v>
      </c>
      <c r="D62" s="7" t="s">
        <v>55</v>
      </c>
      <c r="E62" s="8">
        <v>106795</v>
      </c>
      <c r="F62" s="93"/>
      <c r="G62" s="8">
        <v>3868958</v>
      </c>
      <c r="H62" s="93"/>
      <c r="I62" s="11">
        <v>176.74089784376105</v>
      </c>
      <c r="J62" s="7">
        <v>10</v>
      </c>
      <c r="K62" s="10">
        <f t="shared" si="1"/>
        <v>17.674089784376104</v>
      </c>
      <c r="L62" s="94"/>
      <c r="M62" s="95"/>
      <c r="N62" s="9">
        <v>13776.5</v>
      </c>
      <c r="O62" s="92"/>
      <c r="P62" s="8">
        <v>3.5500000000000002E-3</v>
      </c>
      <c r="Q62" s="11">
        <v>1.8</v>
      </c>
      <c r="R62" s="12" t="s">
        <v>39</v>
      </c>
      <c r="S62" s="11">
        <v>32.369999999999997</v>
      </c>
      <c r="T62" s="7">
        <v>26</v>
      </c>
      <c r="U62" s="7">
        <v>26</v>
      </c>
    </row>
    <row r="63" spans="1:21" x14ac:dyDescent="0.25">
      <c r="A63" s="5" t="s">
        <v>24</v>
      </c>
      <c r="B63" s="6" t="s">
        <v>6</v>
      </c>
      <c r="C63" s="7">
        <v>3</v>
      </c>
      <c r="D63" s="7" t="s">
        <v>56</v>
      </c>
      <c r="E63" s="8">
        <v>359930</v>
      </c>
      <c r="F63" s="93">
        <f>SUM(E63:E64)</f>
        <v>479567</v>
      </c>
      <c r="G63" s="8">
        <v>1263349</v>
      </c>
      <c r="H63" s="93">
        <f>SUM(G63:G64)</f>
        <v>5495906</v>
      </c>
      <c r="I63" s="11">
        <v>181.22508155128671</v>
      </c>
      <c r="J63" s="7">
        <v>10</v>
      </c>
      <c r="K63" s="10">
        <f t="shared" si="1"/>
        <v>18.122508155128671</v>
      </c>
      <c r="L63" s="94">
        <f>F63/H63</f>
        <v>8.725895239110712E-2</v>
      </c>
      <c r="M63" s="95">
        <f>L63*K64</f>
        <v>1.5813510763158232</v>
      </c>
      <c r="N63" s="9">
        <v>13776.5</v>
      </c>
      <c r="O63" s="92">
        <f>M63*N63/1000000</f>
        <v>2.178548310286494E-2</v>
      </c>
      <c r="P63" s="8">
        <v>1.4200000000000001E-4</v>
      </c>
      <c r="Q63" s="11">
        <v>3.14</v>
      </c>
      <c r="R63" s="12" t="s">
        <v>39</v>
      </c>
      <c r="S63" s="11">
        <v>31.32</v>
      </c>
      <c r="T63" s="7">
        <v>27</v>
      </c>
      <c r="U63" s="7">
        <v>27</v>
      </c>
    </row>
    <row r="64" spans="1:21" x14ac:dyDescent="0.25">
      <c r="A64" s="5" t="s">
        <v>24</v>
      </c>
      <c r="B64" s="6" t="s">
        <v>8</v>
      </c>
      <c r="C64" s="7">
        <v>3</v>
      </c>
      <c r="D64" s="7" t="s">
        <v>56</v>
      </c>
      <c r="E64" s="8">
        <v>119637</v>
      </c>
      <c r="F64" s="93"/>
      <c r="G64" s="8">
        <v>4232557</v>
      </c>
      <c r="H64" s="93"/>
      <c r="I64" s="11">
        <v>181.22508155128671</v>
      </c>
      <c r="J64" s="7">
        <v>10</v>
      </c>
      <c r="K64" s="10">
        <f t="shared" si="1"/>
        <v>18.122508155128671</v>
      </c>
      <c r="L64" s="94"/>
      <c r="M64" s="95"/>
      <c r="N64" s="9">
        <v>13776.5</v>
      </c>
      <c r="O64" s="92"/>
      <c r="P64" s="8">
        <v>7.0200000000000004E-4</v>
      </c>
      <c r="Q64" s="11">
        <v>2.54</v>
      </c>
      <c r="R64" s="12" t="s">
        <v>39</v>
      </c>
      <c r="S64" s="11">
        <v>32.81</v>
      </c>
      <c r="T64" s="7">
        <v>25</v>
      </c>
      <c r="U64" s="7">
        <v>25</v>
      </c>
    </row>
    <row r="65" spans="1:21" x14ac:dyDescent="0.25">
      <c r="A65" s="5" t="s">
        <v>24</v>
      </c>
      <c r="B65" s="6" t="s">
        <v>6</v>
      </c>
      <c r="C65" s="7">
        <v>3</v>
      </c>
      <c r="D65" s="7" t="s">
        <v>57</v>
      </c>
      <c r="E65" s="8">
        <v>343595</v>
      </c>
      <c r="F65" s="93">
        <f>SUM(E65:E66)</f>
        <v>508146</v>
      </c>
      <c r="G65" s="8">
        <v>1172858</v>
      </c>
      <c r="H65" s="93">
        <f>SUM(G65:G66)</f>
        <v>5205435</v>
      </c>
      <c r="I65" s="11">
        <v>173.79214459506429</v>
      </c>
      <c r="J65" s="7">
        <v>10</v>
      </c>
      <c r="K65" s="10">
        <f t="shared" si="1"/>
        <v>17.379214459506429</v>
      </c>
      <c r="L65" s="94">
        <f>F65/H65</f>
        <v>9.7618354662002305E-2</v>
      </c>
      <c r="M65" s="95">
        <f>L65*K66</f>
        <v>1.6965303208550973</v>
      </c>
      <c r="N65" s="9">
        <v>13776.5</v>
      </c>
      <c r="O65" s="92">
        <f>M65*N65/1000000</f>
        <v>2.3372249965260244E-2</v>
      </c>
      <c r="P65" s="8">
        <v>3.1E-4</v>
      </c>
      <c r="Q65" s="11">
        <v>2.87</v>
      </c>
      <c r="R65" s="12" t="s">
        <v>39</v>
      </c>
      <c r="S65" s="11">
        <v>31.31</v>
      </c>
      <c r="T65" s="7">
        <v>29</v>
      </c>
      <c r="U65" s="7">
        <v>29</v>
      </c>
    </row>
    <row r="66" spans="1:21" x14ac:dyDescent="0.25">
      <c r="A66" s="5" t="s">
        <v>24</v>
      </c>
      <c r="B66" s="6" t="s">
        <v>8</v>
      </c>
      <c r="C66" s="7">
        <v>3</v>
      </c>
      <c r="D66" s="7" t="s">
        <v>57</v>
      </c>
      <c r="E66" s="8">
        <v>164551</v>
      </c>
      <c r="F66" s="93"/>
      <c r="G66" s="8">
        <v>4032577</v>
      </c>
      <c r="H66" s="93"/>
      <c r="I66" s="11">
        <v>173.79214459506429</v>
      </c>
      <c r="J66" s="7">
        <v>10</v>
      </c>
      <c r="K66" s="10">
        <f t="shared" si="1"/>
        <v>17.379214459506429</v>
      </c>
      <c r="L66" s="94"/>
      <c r="M66" s="95"/>
      <c r="N66" s="9">
        <v>13776.5</v>
      </c>
      <c r="O66" s="92"/>
      <c r="P66" s="8">
        <v>1.5100000000000001E-4</v>
      </c>
      <c r="Q66" s="11">
        <v>3.11</v>
      </c>
      <c r="R66" s="12" t="s">
        <v>39</v>
      </c>
      <c r="S66" s="11">
        <v>32.65</v>
      </c>
      <c r="T66" s="7">
        <v>32</v>
      </c>
      <c r="U66" s="7">
        <v>32</v>
      </c>
    </row>
    <row r="67" spans="1:21" x14ac:dyDescent="0.25">
      <c r="A67" s="5" t="s">
        <v>24</v>
      </c>
      <c r="B67" s="6" t="s">
        <v>73</v>
      </c>
      <c r="C67" s="7">
        <v>3</v>
      </c>
      <c r="D67" s="7" t="s">
        <v>54</v>
      </c>
      <c r="E67" s="8">
        <v>220393</v>
      </c>
      <c r="F67" s="93">
        <f>SUM(E67:E68)</f>
        <v>305479</v>
      </c>
      <c r="G67" s="8">
        <v>83445</v>
      </c>
      <c r="H67" s="93">
        <f>SUM(G67:G68)</f>
        <v>426263</v>
      </c>
      <c r="I67" s="11">
        <v>146.79976512037581</v>
      </c>
      <c r="J67" s="7">
        <v>100</v>
      </c>
      <c r="K67" s="10">
        <f t="shared" si="1"/>
        <v>1.467997651203758</v>
      </c>
      <c r="L67" s="94">
        <f>F67/H67</f>
        <v>0.71664441905584109</v>
      </c>
      <c r="M67" s="95">
        <f>L67*K68</f>
        <v>1.0520323239222564</v>
      </c>
      <c r="N67" s="9">
        <v>13776.5</v>
      </c>
      <c r="O67" s="92">
        <f>M67*N67/1000000</f>
        <v>1.4493323310514967E-2</v>
      </c>
      <c r="P67" s="8">
        <v>6.5700000000000003E-4</v>
      </c>
      <c r="Q67" s="11">
        <v>2.56</v>
      </c>
      <c r="R67" s="13" t="s">
        <v>39</v>
      </c>
      <c r="S67" s="11">
        <v>31.21</v>
      </c>
      <c r="T67" s="7">
        <v>20</v>
      </c>
      <c r="U67" s="7">
        <v>20</v>
      </c>
    </row>
    <row r="68" spans="1:21" x14ac:dyDescent="0.25">
      <c r="A68" s="5" t="s">
        <v>24</v>
      </c>
      <c r="B68" s="6" t="s">
        <v>74</v>
      </c>
      <c r="C68" s="7">
        <v>3</v>
      </c>
      <c r="D68" s="7" t="s">
        <v>54</v>
      </c>
      <c r="E68" s="8">
        <v>85086</v>
      </c>
      <c r="F68" s="93"/>
      <c r="G68" s="8">
        <v>342818</v>
      </c>
      <c r="H68" s="93"/>
      <c r="I68" s="11">
        <v>146.79976512037581</v>
      </c>
      <c r="J68" s="7">
        <v>100</v>
      </c>
      <c r="K68" s="10">
        <f t="shared" si="1"/>
        <v>1.467997651203758</v>
      </c>
      <c r="L68" s="94"/>
      <c r="M68" s="95"/>
      <c r="N68" s="9">
        <v>13776.5</v>
      </c>
      <c r="O68" s="92"/>
      <c r="P68" s="8">
        <v>1.0800000000000001E-2</v>
      </c>
      <c r="Q68" s="11">
        <v>1.2</v>
      </c>
      <c r="R68" s="13" t="s">
        <v>39</v>
      </c>
      <c r="S68" s="11">
        <v>32.520000000000003</v>
      </c>
      <c r="T68" s="7">
        <v>28</v>
      </c>
      <c r="U68" s="7">
        <v>28</v>
      </c>
    </row>
    <row r="69" spans="1:21" x14ac:dyDescent="0.25">
      <c r="A69" s="5" t="s">
        <v>24</v>
      </c>
      <c r="B69" s="6" t="s">
        <v>73</v>
      </c>
      <c r="C69" s="7">
        <v>3</v>
      </c>
      <c r="D69" s="7" t="s">
        <v>55</v>
      </c>
      <c r="E69" s="8">
        <v>258557</v>
      </c>
      <c r="F69" s="93">
        <f>SUM(E69:E70)</f>
        <v>317324</v>
      </c>
      <c r="G69" s="8">
        <v>88697</v>
      </c>
      <c r="H69" s="93">
        <f>SUM(G69:G70)</f>
        <v>404632</v>
      </c>
      <c r="I69" s="11">
        <v>176.74089784376105</v>
      </c>
      <c r="J69" s="7">
        <v>100</v>
      </c>
      <c r="K69" s="10">
        <f t="shared" si="1"/>
        <v>1.7674089784376106</v>
      </c>
      <c r="L69" s="94">
        <f>F69/H69</f>
        <v>0.78422863243638663</v>
      </c>
      <c r="M69" s="95">
        <f>L69*K70</f>
        <v>1.3860527261159186</v>
      </c>
      <c r="N69" s="9">
        <v>13776.5</v>
      </c>
      <c r="O69" s="92">
        <f>M69*N69/1000000</f>
        <v>1.9094955381335953E-2</v>
      </c>
      <c r="P69" s="8">
        <v>6.2E-4</v>
      </c>
      <c r="Q69" s="11">
        <v>2.58</v>
      </c>
      <c r="R69" s="13" t="s">
        <v>39</v>
      </c>
      <c r="S69" s="11">
        <v>31.16</v>
      </c>
      <c r="T69" s="7">
        <v>18</v>
      </c>
      <c r="U69" s="7">
        <v>18</v>
      </c>
    </row>
    <row r="70" spans="1:21" x14ac:dyDescent="0.25">
      <c r="A70" s="5" t="s">
        <v>24</v>
      </c>
      <c r="B70" s="6" t="s">
        <v>74</v>
      </c>
      <c r="C70" s="7">
        <v>3</v>
      </c>
      <c r="D70" s="7" t="s">
        <v>55</v>
      </c>
      <c r="E70" s="8">
        <v>58767</v>
      </c>
      <c r="F70" s="93"/>
      <c r="G70" s="8">
        <v>315935</v>
      </c>
      <c r="H70" s="93"/>
      <c r="I70" s="11">
        <v>176.74089784376105</v>
      </c>
      <c r="J70" s="7">
        <v>100</v>
      </c>
      <c r="K70" s="10">
        <f t="shared" si="1"/>
        <v>1.7674089784376106</v>
      </c>
      <c r="L70" s="94"/>
      <c r="M70" s="95"/>
      <c r="N70" s="9">
        <v>13776.5</v>
      </c>
      <c r="O70" s="92"/>
      <c r="P70" s="8">
        <v>1.1299999999999999E-3</v>
      </c>
      <c r="Q70" s="11">
        <v>2.31</v>
      </c>
      <c r="R70" s="13" t="s">
        <v>39</v>
      </c>
      <c r="S70" s="11">
        <v>32.67</v>
      </c>
      <c r="T70" s="7">
        <v>21</v>
      </c>
      <c r="U70" s="7">
        <v>21</v>
      </c>
    </row>
    <row r="71" spans="1:21" x14ac:dyDescent="0.25">
      <c r="A71" s="5" t="s">
        <v>24</v>
      </c>
      <c r="B71" s="6" t="s">
        <v>73</v>
      </c>
      <c r="C71" s="7">
        <v>3</v>
      </c>
      <c r="D71" s="7" t="s">
        <v>56</v>
      </c>
      <c r="E71" s="8">
        <v>287747</v>
      </c>
      <c r="F71" s="93">
        <f>SUM(E71:E72)</f>
        <v>418028</v>
      </c>
      <c r="G71" s="8">
        <v>103824</v>
      </c>
      <c r="H71" s="93">
        <f>SUM(G71:G72)</f>
        <v>606962</v>
      </c>
      <c r="I71" s="11">
        <v>181.22508155128671</v>
      </c>
      <c r="J71" s="7">
        <v>100</v>
      </c>
      <c r="K71" s="10">
        <f t="shared" si="1"/>
        <v>1.8122508155128672</v>
      </c>
      <c r="L71" s="94">
        <f>F71/H71</f>
        <v>0.68872186397171486</v>
      </c>
      <c r="M71" s="95">
        <f>L71*K72</f>
        <v>1.2481367596442823</v>
      </c>
      <c r="N71" s="9">
        <v>13776.5</v>
      </c>
      <c r="O71" s="92">
        <f>M71*N71/1000000</f>
        <v>1.7194956069239455E-2</v>
      </c>
      <c r="P71" s="8">
        <v>5.4100000000000003E-4</v>
      </c>
      <c r="Q71" s="11">
        <v>2.65</v>
      </c>
      <c r="R71" s="13" t="s">
        <v>39</v>
      </c>
      <c r="S71" s="11">
        <v>31.59</v>
      </c>
      <c r="T71" s="7">
        <v>16</v>
      </c>
      <c r="U71" s="7">
        <v>16</v>
      </c>
    </row>
    <row r="72" spans="1:21" x14ac:dyDescent="0.25">
      <c r="A72" s="5" t="s">
        <v>24</v>
      </c>
      <c r="B72" s="6" t="s">
        <v>74</v>
      </c>
      <c r="C72" s="7">
        <v>3</v>
      </c>
      <c r="D72" s="7" t="s">
        <v>56</v>
      </c>
      <c r="E72" s="8">
        <v>130281</v>
      </c>
      <c r="F72" s="93"/>
      <c r="G72" s="8">
        <v>503138</v>
      </c>
      <c r="H72" s="93"/>
      <c r="I72" s="11">
        <v>181.22508155128671</v>
      </c>
      <c r="J72" s="7">
        <v>100</v>
      </c>
      <c r="K72" s="10">
        <f t="shared" si="1"/>
        <v>1.8122508155128672</v>
      </c>
      <c r="L72" s="94"/>
      <c r="M72" s="95"/>
      <c r="N72" s="9">
        <v>13776.5</v>
      </c>
      <c r="O72" s="92"/>
      <c r="P72" s="8">
        <v>6.6E-4</v>
      </c>
      <c r="Q72" s="11">
        <v>2.56</v>
      </c>
      <c r="R72" s="13" t="s">
        <v>39</v>
      </c>
      <c r="S72" s="11">
        <v>33.01</v>
      </c>
      <c r="T72" s="7">
        <v>26</v>
      </c>
      <c r="U72" s="7">
        <v>25</v>
      </c>
    </row>
    <row r="73" spans="1:21" x14ac:dyDescent="0.25">
      <c r="A73" s="5" t="s">
        <v>24</v>
      </c>
      <c r="B73" s="6" t="s">
        <v>6</v>
      </c>
      <c r="C73" s="7">
        <v>3</v>
      </c>
      <c r="D73" s="7" t="s">
        <v>57</v>
      </c>
      <c r="E73" s="8">
        <v>262675</v>
      </c>
      <c r="F73" s="93">
        <f>SUM(E73:E74)</f>
        <v>332373</v>
      </c>
      <c r="G73" s="8">
        <v>115096</v>
      </c>
      <c r="H73" s="93">
        <f>SUM(G73:G74)</f>
        <v>492673</v>
      </c>
      <c r="I73" s="11">
        <v>173.79214459506429</v>
      </c>
      <c r="J73" s="7">
        <v>100</v>
      </c>
      <c r="K73" s="10">
        <f t="shared" si="1"/>
        <v>1.7379214459506429</v>
      </c>
      <c r="L73" s="94">
        <f>F73/H73</f>
        <v>0.67463205818057814</v>
      </c>
      <c r="M73" s="95">
        <f>L73*K74</f>
        <v>1.1724575220378486</v>
      </c>
      <c r="N73" s="9">
        <v>13776.5</v>
      </c>
      <c r="O73" s="92">
        <f>M73*N73/1000000</f>
        <v>1.615236105235442E-2</v>
      </c>
      <c r="P73" s="8">
        <v>1.58E-3</v>
      </c>
      <c r="Q73" s="11">
        <v>2.17</v>
      </c>
      <c r="R73" s="13" t="s">
        <v>40</v>
      </c>
      <c r="S73" s="11">
        <v>31.57</v>
      </c>
      <c r="T73" s="7">
        <v>19</v>
      </c>
      <c r="U73" s="7">
        <v>19</v>
      </c>
    </row>
    <row r="74" spans="1:21" x14ac:dyDescent="0.25">
      <c r="A74" s="5" t="s">
        <v>24</v>
      </c>
      <c r="B74" s="6" t="s">
        <v>8</v>
      </c>
      <c r="C74" s="7">
        <v>3</v>
      </c>
      <c r="D74" s="7" t="s">
        <v>57</v>
      </c>
      <c r="E74" s="8">
        <v>69698</v>
      </c>
      <c r="F74" s="93"/>
      <c r="G74" s="8">
        <v>377577</v>
      </c>
      <c r="H74" s="93"/>
      <c r="I74" s="11">
        <v>173.79214459506429</v>
      </c>
      <c r="J74" s="7">
        <v>100</v>
      </c>
      <c r="K74" s="10">
        <f t="shared" si="1"/>
        <v>1.7379214459506429</v>
      </c>
      <c r="L74" s="94"/>
      <c r="M74" s="95"/>
      <c r="N74" s="9">
        <v>13776.5</v>
      </c>
      <c r="O74" s="92"/>
      <c r="P74" s="8">
        <v>8.5300000000000003E-4</v>
      </c>
      <c r="Q74" s="11">
        <v>2.44</v>
      </c>
      <c r="R74" s="13" t="s">
        <v>39</v>
      </c>
      <c r="S74" s="11">
        <v>32.68</v>
      </c>
      <c r="T74" s="7">
        <v>23</v>
      </c>
      <c r="U74" s="7">
        <v>23</v>
      </c>
    </row>
  </sheetData>
  <sortState xmlns:xlrd2="http://schemas.microsoft.com/office/spreadsheetml/2017/richdata2" ref="A29:R76">
    <sortCondition ref="C29:C76"/>
  </sortState>
  <mergeCells count="180">
    <mergeCell ref="M53:M54"/>
    <mergeCell ref="M51:M52"/>
    <mergeCell ref="M73:M74"/>
    <mergeCell ref="M71:M72"/>
    <mergeCell ref="M69:M70"/>
    <mergeCell ref="M67:M68"/>
    <mergeCell ref="M65:M66"/>
    <mergeCell ref="M63:M64"/>
    <mergeCell ref="M61:M62"/>
    <mergeCell ref="M59:M60"/>
    <mergeCell ref="M57:M58"/>
    <mergeCell ref="M55:M56"/>
    <mergeCell ref="M49:M50"/>
    <mergeCell ref="M47:M48"/>
    <mergeCell ref="M45:M46"/>
    <mergeCell ref="M43:M44"/>
    <mergeCell ref="M41:M42"/>
    <mergeCell ref="M39:M40"/>
    <mergeCell ref="M8:M9"/>
    <mergeCell ref="M6:M7"/>
    <mergeCell ref="M37:M38"/>
    <mergeCell ref="M35:M36"/>
    <mergeCell ref="M33:M34"/>
    <mergeCell ref="M31:M32"/>
    <mergeCell ref="M29:M30"/>
    <mergeCell ref="M27:M28"/>
    <mergeCell ref="M24:M25"/>
    <mergeCell ref="M22:M23"/>
    <mergeCell ref="M20:M21"/>
    <mergeCell ref="M4:M5"/>
    <mergeCell ref="M2:M3"/>
    <mergeCell ref="M16:M17"/>
    <mergeCell ref="M14:M15"/>
    <mergeCell ref="M12:M13"/>
    <mergeCell ref="M10:M11"/>
    <mergeCell ref="L33:L34"/>
    <mergeCell ref="H33:H34"/>
    <mergeCell ref="L31:L32"/>
    <mergeCell ref="H31:H32"/>
    <mergeCell ref="L29:L30"/>
    <mergeCell ref="L27:L28"/>
    <mergeCell ref="H29:H30"/>
    <mergeCell ref="H27:H28"/>
    <mergeCell ref="L10:L11"/>
    <mergeCell ref="H10:H11"/>
    <mergeCell ref="M18:M19"/>
    <mergeCell ref="F45:F46"/>
    <mergeCell ref="F43:F44"/>
    <mergeCell ref="L45:L46"/>
    <mergeCell ref="L43:L44"/>
    <mergeCell ref="H45:H46"/>
    <mergeCell ref="H43:H44"/>
    <mergeCell ref="H73:H74"/>
    <mergeCell ref="H71:H72"/>
    <mergeCell ref="H69:H70"/>
    <mergeCell ref="H67:H68"/>
    <mergeCell ref="F73:F74"/>
    <mergeCell ref="F71:F72"/>
    <mergeCell ref="F69:F70"/>
    <mergeCell ref="F67:F68"/>
    <mergeCell ref="L53:L54"/>
    <mergeCell ref="F53:F54"/>
    <mergeCell ref="L73:L74"/>
    <mergeCell ref="L71:L72"/>
    <mergeCell ref="L69:L70"/>
    <mergeCell ref="L67:L68"/>
    <mergeCell ref="L65:L66"/>
    <mergeCell ref="L63:L64"/>
    <mergeCell ref="L61:L62"/>
    <mergeCell ref="L59:L60"/>
    <mergeCell ref="F65:F66"/>
    <mergeCell ref="F63:F64"/>
    <mergeCell ref="F61:F62"/>
    <mergeCell ref="F59:F60"/>
    <mergeCell ref="F57:F58"/>
    <mergeCell ref="F55:F56"/>
    <mergeCell ref="F51:F52"/>
    <mergeCell ref="L49:L50"/>
    <mergeCell ref="L47:L48"/>
    <mergeCell ref="H49:H50"/>
    <mergeCell ref="H47:H48"/>
    <mergeCell ref="H55:H56"/>
    <mergeCell ref="H53:H54"/>
    <mergeCell ref="H51:H52"/>
    <mergeCell ref="L51:L52"/>
    <mergeCell ref="L55:L56"/>
    <mergeCell ref="F49:F50"/>
    <mergeCell ref="F47:F48"/>
    <mergeCell ref="L57:L58"/>
    <mergeCell ref="H65:H66"/>
    <mergeCell ref="H63:H64"/>
    <mergeCell ref="H61:H62"/>
    <mergeCell ref="H59:H60"/>
    <mergeCell ref="H57:H58"/>
    <mergeCell ref="L41:L42"/>
    <mergeCell ref="L39:L40"/>
    <mergeCell ref="L37:L38"/>
    <mergeCell ref="L35:L36"/>
    <mergeCell ref="H35:H36"/>
    <mergeCell ref="F35:F36"/>
    <mergeCell ref="F41:F42"/>
    <mergeCell ref="F39:F40"/>
    <mergeCell ref="F37:F38"/>
    <mergeCell ref="H41:H42"/>
    <mergeCell ref="H39:H40"/>
    <mergeCell ref="H37:H38"/>
    <mergeCell ref="F33:F34"/>
    <mergeCell ref="F31:F32"/>
    <mergeCell ref="F29:F30"/>
    <mergeCell ref="F27:F28"/>
    <mergeCell ref="F24:F25"/>
    <mergeCell ref="F22:F23"/>
    <mergeCell ref="F20:F21"/>
    <mergeCell ref="F18:F19"/>
    <mergeCell ref="L24:L25"/>
    <mergeCell ref="L22:L23"/>
    <mergeCell ref="L20:L21"/>
    <mergeCell ref="L18:L19"/>
    <mergeCell ref="H24:H25"/>
    <mergeCell ref="H22:H23"/>
    <mergeCell ref="H20:H21"/>
    <mergeCell ref="H18:H19"/>
    <mergeCell ref="F16:F17"/>
    <mergeCell ref="F14:F15"/>
    <mergeCell ref="F12:F13"/>
    <mergeCell ref="F10:F11"/>
    <mergeCell ref="L8:L9"/>
    <mergeCell ref="L6:L7"/>
    <mergeCell ref="L4:L5"/>
    <mergeCell ref="L2:L3"/>
    <mergeCell ref="L16:L17"/>
    <mergeCell ref="H16:H17"/>
    <mergeCell ref="L14:L15"/>
    <mergeCell ref="H14:H15"/>
    <mergeCell ref="L12:L13"/>
    <mergeCell ref="H12:H13"/>
    <mergeCell ref="F8:F9"/>
    <mergeCell ref="F6:F7"/>
    <mergeCell ref="F4:F5"/>
    <mergeCell ref="F2:F3"/>
    <mergeCell ref="H8:H9"/>
    <mergeCell ref="H6:H7"/>
    <mergeCell ref="H4:H5"/>
    <mergeCell ref="H2:H3"/>
    <mergeCell ref="O33:O34"/>
    <mergeCell ref="O31:O32"/>
    <mergeCell ref="O29:O30"/>
    <mergeCell ref="O27:O28"/>
    <mergeCell ref="O8:O9"/>
    <mergeCell ref="O6:O7"/>
    <mergeCell ref="O2:O3"/>
    <mergeCell ref="O4:O5"/>
    <mergeCell ref="O10:O11"/>
    <mergeCell ref="O24:O25"/>
    <mergeCell ref="O22:O23"/>
    <mergeCell ref="O20:O21"/>
    <mergeCell ref="O18:O19"/>
    <mergeCell ref="O16:O17"/>
    <mergeCell ref="O14:O15"/>
    <mergeCell ref="O12:O13"/>
    <mergeCell ref="O49:O50"/>
    <mergeCell ref="O47:O48"/>
    <mergeCell ref="O45:O46"/>
    <mergeCell ref="O43:O44"/>
    <mergeCell ref="O41:O42"/>
    <mergeCell ref="O39:O40"/>
    <mergeCell ref="O37:O38"/>
    <mergeCell ref="O35:O36"/>
    <mergeCell ref="O73:O74"/>
    <mergeCell ref="O71:O72"/>
    <mergeCell ref="O69:O70"/>
    <mergeCell ref="O67:O68"/>
    <mergeCell ref="O65:O66"/>
    <mergeCell ref="O63:O64"/>
    <mergeCell ref="O61:O62"/>
    <mergeCell ref="O59:O60"/>
    <mergeCell ref="O57:O58"/>
    <mergeCell ref="O55:O56"/>
    <mergeCell ref="O53:O54"/>
    <mergeCell ref="O51:O5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F2:F9 F35:F42 H2:H9 F67:F74 H67:H74 F59:F66 H59:H66 F51:F58 H51:H58 F43:F50 H43:H50 H35:H42 F27:F34 H27:H34 F18:F25 H18:H25 F10:F17 H10: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7"/>
  <sheetViews>
    <sheetView zoomScale="80" zoomScaleNormal="80" workbookViewId="0">
      <selection activeCell="F24" sqref="F24"/>
    </sheetView>
  </sheetViews>
  <sheetFormatPr defaultRowHeight="15" x14ac:dyDescent="0.25"/>
  <cols>
    <col min="1" max="1" width="16.28515625" style="29" bestFit="1" customWidth="1"/>
    <col min="2" max="2" width="27.5703125" style="29" bestFit="1" customWidth="1"/>
    <col min="3" max="3" width="24.42578125" style="29" bestFit="1" customWidth="1"/>
    <col min="4" max="4" width="12.28515625" style="36" bestFit="1" customWidth="1"/>
    <col min="5" max="5" width="20" style="39" hidden="1" customWidth="1"/>
    <col min="6" max="6" width="14.7109375" style="36" customWidth="1"/>
    <col min="7" max="7" width="9.85546875" style="30" bestFit="1" customWidth="1"/>
    <col min="8" max="8" width="11" style="36" bestFit="1" customWidth="1"/>
    <col min="9" max="9" width="10.7109375" style="30" customWidth="1"/>
    <col min="10" max="10" width="7.140625" style="30" bestFit="1" customWidth="1"/>
    <col min="11" max="11" width="7.85546875" style="30" bestFit="1" customWidth="1"/>
    <col min="12" max="12" width="7.140625" style="30" bestFit="1" customWidth="1"/>
    <col min="13" max="13" width="8.28515625" style="30" bestFit="1" customWidth="1"/>
    <col min="14" max="15" width="6" style="30" bestFit="1" customWidth="1"/>
    <col min="16" max="16" width="10.28515625" style="30" bestFit="1" customWidth="1"/>
    <col min="17" max="16384" width="9.140625" style="29"/>
  </cols>
  <sheetData>
    <row r="1" spans="1:16" s="40" customFormat="1" ht="60.75" thickBot="1" x14ac:dyDescent="0.3">
      <c r="A1" s="43" t="s">
        <v>115</v>
      </c>
      <c r="B1" s="43" t="s">
        <v>120</v>
      </c>
      <c r="C1" s="43" t="s">
        <v>32</v>
      </c>
      <c r="D1" s="44" t="s">
        <v>121</v>
      </c>
      <c r="E1" s="45" t="s">
        <v>116</v>
      </c>
      <c r="F1" s="44" t="s">
        <v>253</v>
      </c>
      <c r="G1" s="46" t="s">
        <v>123</v>
      </c>
      <c r="H1" s="44" t="s">
        <v>122</v>
      </c>
      <c r="I1" s="46" t="s">
        <v>124</v>
      </c>
      <c r="J1" s="46" t="s">
        <v>125</v>
      </c>
      <c r="K1" s="46" t="s">
        <v>238</v>
      </c>
      <c r="L1" s="46" t="s">
        <v>126</v>
      </c>
      <c r="M1" s="46" t="s">
        <v>127</v>
      </c>
      <c r="N1" s="46" t="s">
        <v>118</v>
      </c>
      <c r="O1" s="46" t="s">
        <v>119</v>
      </c>
      <c r="P1" s="46" t="s">
        <v>117</v>
      </c>
    </row>
    <row r="2" spans="1:16" ht="15.75" thickTop="1" x14ac:dyDescent="0.25">
      <c r="A2" s="31" t="s">
        <v>106</v>
      </c>
      <c r="B2" s="32" t="s">
        <v>48</v>
      </c>
      <c r="C2" s="33" t="s">
        <v>15</v>
      </c>
      <c r="D2" s="36" t="s">
        <v>80</v>
      </c>
      <c r="E2" s="39" t="s">
        <v>91</v>
      </c>
      <c r="F2" s="36" t="s">
        <v>39</v>
      </c>
      <c r="G2" s="34">
        <f>AVERAGE(0.9,0.91,0.92,0.92)</f>
        <v>0.91249999999999998</v>
      </c>
      <c r="H2" s="36" t="s">
        <v>87</v>
      </c>
      <c r="I2" s="30">
        <v>4</v>
      </c>
      <c r="J2" s="34">
        <v>0.66249999999999998</v>
      </c>
      <c r="K2" s="34">
        <v>0.74</v>
      </c>
      <c r="L2" s="34">
        <v>0.79500000000000004</v>
      </c>
      <c r="M2" s="34">
        <v>0.73250000000000004</v>
      </c>
      <c r="N2" s="34">
        <v>7.0419999999999996E-2</v>
      </c>
      <c r="O2" s="34">
        <v>3.5209999999999998E-2</v>
      </c>
      <c r="P2" s="34" t="s">
        <v>101</v>
      </c>
    </row>
    <row r="3" spans="1:16" x14ac:dyDescent="0.25">
      <c r="A3" s="31"/>
      <c r="B3" s="32"/>
      <c r="C3" s="33" t="s">
        <v>13</v>
      </c>
      <c r="D3" s="36" t="s">
        <v>80</v>
      </c>
      <c r="E3" s="39" t="s">
        <v>90</v>
      </c>
      <c r="F3" s="36" t="s">
        <v>39</v>
      </c>
      <c r="G3" s="34">
        <f>AVERAGE(0.95,0.96,0.95,0.97)</f>
        <v>0.95750000000000002</v>
      </c>
      <c r="H3" s="36" t="s">
        <v>87</v>
      </c>
      <c r="I3" s="98">
        <v>4</v>
      </c>
      <c r="J3" s="97">
        <v>1.9730000000000001</v>
      </c>
      <c r="K3" s="97">
        <v>2.2000000000000002</v>
      </c>
      <c r="L3" s="97">
        <v>2.323</v>
      </c>
      <c r="M3" s="97">
        <v>2.165</v>
      </c>
      <c r="N3" s="97">
        <v>0.1852</v>
      </c>
      <c r="O3" s="97">
        <v>9.2600000000000002E-2</v>
      </c>
      <c r="P3" s="97" t="s">
        <v>102</v>
      </c>
    </row>
    <row r="4" spans="1:16" x14ac:dyDescent="0.25">
      <c r="A4" s="31"/>
      <c r="B4" s="32"/>
      <c r="C4" s="33" t="s">
        <v>3</v>
      </c>
      <c r="D4" s="36" t="s">
        <v>80</v>
      </c>
      <c r="E4" s="39" t="s">
        <v>90</v>
      </c>
      <c r="F4" s="36" t="s">
        <v>39</v>
      </c>
      <c r="G4" s="34">
        <f>AVERAGE(0.93,0.93,0.96,0.94)</f>
        <v>0.94000000000000006</v>
      </c>
      <c r="H4" s="36" t="s">
        <v>87</v>
      </c>
      <c r="I4" s="98"/>
      <c r="J4" s="97"/>
      <c r="K4" s="97"/>
      <c r="L4" s="97"/>
      <c r="M4" s="97"/>
      <c r="N4" s="97"/>
      <c r="O4" s="97"/>
      <c r="P4" s="97"/>
    </row>
    <row r="5" spans="1:16" x14ac:dyDescent="0.25">
      <c r="A5" s="31" t="s">
        <v>107</v>
      </c>
      <c r="B5" s="31" t="s">
        <v>75</v>
      </c>
      <c r="C5" s="33" t="s">
        <v>14</v>
      </c>
      <c r="D5" s="36" t="s">
        <v>80</v>
      </c>
      <c r="E5" s="39" t="s">
        <v>90</v>
      </c>
      <c r="F5" s="36" t="s">
        <v>39</v>
      </c>
      <c r="G5" s="34">
        <f>AVERAGE(0.86,0.86,0.85,0.86)</f>
        <v>0.85749999999999993</v>
      </c>
      <c r="H5" s="36" t="s">
        <v>87</v>
      </c>
      <c r="I5" s="30">
        <v>4</v>
      </c>
      <c r="J5" s="34">
        <v>1.123</v>
      </c>
      <c r="K5" s="34">
        <v>1.2350000000000001</v>
      </c>
      <c r="L5" s="34">
        <v>1.2949999999999999</v>
      </c>
      <c r="M5" s="34">
        <v>1.218</v>
      </c>
      <c r="N5" s="34">
        <v>9.2869999999999994E-2</v>
      </c>
      <c r="O5" s="34">
        <v>4.6440000000000002E-2</v>
      </c>
      <c r="P5" s="34" t="s">
        <v>103</v>
      </c>
    </row>
    <row r="6" spans="1:16" x14ac:dyDescent="0.25">
      <c r="A6" s="31"/>
      <c r="B6" s="31"/>
      <c r="C6" s="35" t="s">
        <v>17</v>
      </c>
      <c r="D6" s="47" t="s">
        <v>83</v>
      </c>
      <c r="E6" s="37" t="s">
        <v>88</v>
      </c>
      <c r="F6" s="38" t="s">
        <v>40</v>
      </c>
      <c r="G6" s="48">
        <f>AVERAGE(0.84,0.84,0.82,0.84)</f>
        <v>0.83499999999999996</v>
      </c>
      <c r="H6" s="38" t="s">
        <v>93</v>
      </c>
      <c r="I6" s="38" t="s">
        <v>83</v>
      </c>
      <c r="J6" s="49" t="s">
        <v>83</v>
      </c>
      <c r="K6" s="49" t="s">
        <v>83</v>
      </c>
      <c r="L6" s="49" t="s">
        <v>83</v>
      </c>
      <c r="M6" s="49" t="s">
        <v>83</v>
      </c>
      <c r="N6" s="49" t="s">
        <v>83</v>
      </c>
      <c r="O6" s="49" t="s">
        <v>83</v>
      </c>
      <c r="P6" s="49" t="s">
        <v>83</v>
      </c>
    </row>
    <row r="7" spans="1:16" x14ac:dyDescent="0.25">
      <c r="A7" s="31" t="s">
        <v>108</v>
      </c>
      <c r="B7" s="31" t="s">
        <v>76</v>
      </c>
      <c r="C7" s="33" t="s">
        <v>11</v>
      </c>
      <c r="D7" s="36" t="s">
        <v>80</v>
      </c>
      <c r="E7" s="39" t="s">
        <v>91</v>
      </c>
      <c r="F7" s="36" t="s">
        <v>39</v>
      </c>
      <c r="G7" s="34">
        <f>AVERAGE(0.96,0.97,0.97,0.95)</f>
        <v>0.96249999999999991</v>
      </c>
      <c r="H7" s="36" t="s">
        <v>87</v>
      </c>
      <c r="I7" s="30">
        <v>4</v>
      </c>
      <c r="J7" s="34">
        <v>2.5550000000000002</v>
      </c>
      <c r="K7" s="34">
        <v>2.83</v>
      </c>
      <c r="L7" s="34">
        <v>2.91</v>
      </c>
      <c r="M7" s="34">
        <v>2.7650000000000001</v>
      </c>
      <c r="N7" s="34">
        <v>0.19889999999999999</v>
      </c>
      <c r="O7" s="34">
        <v>9.9460000000000007E-2</v>
      </c>
      <c r="P7" s="34" t="s">
        <v>104</v>
      </c>
    </row>
    <row r="8" spans="1:16" x14ac:dyDescent="0.25">
      <c r="A8" s="31"/>
      <c r="B8" s="31"/>
      <c r="C8" s="33" t="s">
        <v>2</v>
      </c>
      <c r="D8" s="36" t="s">
        <v>89</v>
      </c>
      <c r="E8" s="39" t="s">
        <v>85</v>
      </c>
      <c r="F8" s="36" t="s">
        <v>39</v>
      </c>
      <c r="G8" s="34">
        <f>AVERAGE(0.79,0.87,0.73,0.73)</f>
        <v>0.78</v>
      </c>
      <c r="H8" s="36" t="s">
        <v>87</v>
      </c>
      <c r="I8" s="30">
        <v>4</v>
      </c>
      <c r="J8" s="34">
        <v>1.82</v>
      </c>
      <c r="K8" s="34">
        <v>1.99</v>
      </c>
      <c r="L8" s="34">
        <v>2.1829999999999998</v>
      </c>
      <c r="M8" s="34">
        <v>1.998</v>
      </c>
      <c r="N8" s="34">
        <v>0.19020000000000001</v>
      </c>
      <c r="O8" s="34">
        <v>9.5079999999999998E-2</v>
      </c>
      <c r="P8" s="34" t="s">
        <v>105</v>
      </c>
    </row>
    <row r="9" spans="1:16" x14ac:dyDescent="0.25">
      <c r="A9" s="31" t="s">
        <v>109</v>
      </c>
      <c r="B9" s="31" t="s">
        <v>25</v>
      </c>
      <c r="C9" s="33" t="s">
        <v>19</v>
      </c>
      <c r="D9" s="36" t="s">
        <v>79</v>
      </c>
      <c r="E9" s="39" t="s">
        <v>92</v>
      </c>
      <c r="F9" s="36" t="s">
        <v>39</v>
      </c>
      <c r="G9" s="30">
        <v>0.96</v>
      </c>
      <c r="H9" s="36" t="s">
        <v>87</v>
      </c>
      <c r="I9" s="30">
        <v>4</v>
      </c>
      <c r="J9" s="34">
        <v>55.75</v>
      </c>
      <c r="K9" s="34">
        <v>63.02</v>
      </c>
      <c r="L9" s="34">
        <v>66.22</v>
      </c>
      <c r="M9" s="34">
        <v>61.66</v>
      </c>
      <c r="N9" s="34">
        <v>5.7039999999999997</v>
      </c>
      <c r="O9" s="34">
        <v>2.8519999999999999</v>
      </c>
      <c r="P9" s="74">
        <v>9.2499999999999999E-2</v>
      </c>
    </row>
    <row r="10" spans="1:16" x14ac:dyDescent="0.25">
      <c r="A10" s="31"/>
      <c r="B10" s="31"/>
      <c r="C10" s="33" t="s">
        <v>0</v>
      </c>
      <c r="D10" s="36" t="s">
        <v>79</v>
      </c>
      <c r="E10" s="39" t="s">
        <v>92</v>
      </c>
      <c r="F10" s="36" t="s">
        <v>39</v>
      </c>
      <c r="G10" s="34">
        <f>AVERAGE(0.88,0.88,0.88,0.87)</f>
        <v>0.87750000000000006</v>
      </c>
      <c r="H10" s="36" t="s">
        <v>87</v>
      </c>
      <c r="I10" s="30">
        <v>4</v>
      </c>
      <c r="J10" s="34">
        <v>15.78</v>
      </c>
      <c r="K10" s="34">
        <v>16.14</v>
      </c>
      <c r="L10" s="34">
        <v>18.66</v>
      </c>
      <c r="M10" s="34">
        <v>16.86</v>
      </c>
      <c r="N10" s="34">
        <v>1.7689999999999999</v>
      </c>
      <c r="O10" s="34">
        <v>0.88439999999999996</v>
      </c>
      <c r="P10" s="34" t="s">
        <v>100</v>
      </c>
    </row>
    <row r="11" spans="1:16" x14ac:dyDescent="0.25">
      <c r="A11" s="31" t="s">
        <v>110</v>
      </c>
      <c r="B11" s="31" t="s">
        <v>27</v>
      </c>
      <c r="C11" s="39" t="s">
        <v>1</v>
      </c>
      <c r="D11" s="36" t="s">
        <v>81</v>
      </c>
      <c r="E11" s="39" t="s">
        <v>84</v>
      </c>
      <c r="F11" s="36" t="s">
        <v>39</v>
      </c>
      <c r="G11" s="82">
        <f>AVERAGE(1,1,1)</f>
        <v>1</v>
      </c>
      <c r="H11" s="36" t="s">
        <v>87</v>
      </c>
      <c r="I11" s="36">
        <v>3</v>
      </c>
      <c r="J11" s="82">
        <v>20.309999999999999</v>
      </c>
      <c r="K11" s="82">
        <v>20.58</v>
      </c>
      <c r="L11" s="82">
        <v>21.19</v>
      </c>
      <c r="M11" s="82">
        <v>20.69</v>
      </c>
      <c r="N11" s="82">
        <v>0.45079999999999998</v>
      </c>
      <c r="O11" s="82">
        <v>0.26029999999999998</v>
      </c>
      <c r="P11" s="82" t="s">
        <v>244</v>
      </c>
    </row>
    <row r="12" spans="1:16" x14ac:dyDescent="0.25">
      <c r="A12" s="31"/>
      <c r="B12" s="31"/>
      <c r="C12" s="29" t="s">
        <v>16</v>
      </c>
      <c r="D12" s="36" t="s">
        <v>79</v>
      </c>
      <c r="E12" s="39" t="s">
        <v>92</v>
      </c>
      <c r="F12" s="36" t="s">
        <v>39</v>
      </c>
      <c r="G12" s="34">
        <f>AVERAGE(0.92,0.91,0.92,0.92)</f>
        <v>0.91749999999999998</v>
      </c>
      <c r="H12" s="36" t="s">
        <v>87</v>
      </c>
      <c r="I12" s="30">
        <v>4</v>
      </c>
      <c r="J12" s="34">
        <v>12.37</v>
      </c>
      <c r="K12" s="34">
        <v>14.91</v>
      </c>
      <c r="L12" s="34">
        <v>16.829999999999998</v>
      </c>
      <c r="M12" s="34">
        <v>14.7</v>
      </c>
      <c r="N12" s="34">
        <v>2.4249999999999998</v>
      </c>
      <c r="O12" s="34">
        <v>1.212</v>
      </c>
      <c r="P12" s="74">
        <v>0.16500000000000001</v>
      </c>
    </row>
    <row r="13" spans="1:16" x14ac:dyDescent="0.25">
      <c r="A13" s="31" t="s">
        <v>111</v>
      </c>
      <c r="B13" s="31" t="s">
        <v>23</v>
      </c>
      <c r="C13" s="29" t="s">
        <v>5</v>
      </c>
      <c r="D13" s="36" t="s">
        <v>79</v>
      </c>
      <c r="E13" s="39" t="s">
        <v>90</v>
      </c>
      <c r="F13" s="36" t="s">
        <v>39</v>
      </c>
      <c r="G13" s="34">
        <f>AVERAGE(0.93,0.94,0.93,0.94)</f>
        <v>0.93500000000000005</v>
      </c>
      <c r="H13" s="36" t="s">
        <v>87</v>
      </c>
      <c r="I13" s="30">
        <v>4</v>
      </c>
      <c r="J13" s="34">
        <v>16.760000000000002</v>
      </c>
      <c r="K13" s="34">
        <v>18.739999999999998</v>
      </c>
      <c r="L13" s="34">
        <v>21.51</v>
      </c>
      <c r="M13" s="34">
        <v>19</v>
      </c>
      <c r="N13" s="34">
        <v>2.484</v>
      </c>
      <c r="O13" s="34">
        <v>1.242</v>
      </c>
      <c r="P13" s="34" t="s">
        <v>94</v>
      </c>
    </row>
    <row r="14" spans="1:16" x14ac:dyDescent="0.25">
      <c r="A14" s="31" t="s">
        <v>112</v>
      </c>
      <c r="B14" s="31" t="s">
        <v>24</v>
      </c>
      <c r="C14" s="29" t="s">
        <v>12</v>
      </c>
      <c r="D14" s="36" t="s">
        <v>80</v>
      </c>
      <c r="E14" s="39" t="s">
        <v>91</v>
      </c>
      <c r="F14" s="36" t="s">
        <v>39</v>
      </c>
      <c r="G14" s="34">
        <f>AVERAGE(0.89,0.91,0.91)</f>
        <v>0.90333333333333332</v>
      </c>
      <c r="H14" s="36" t="s">
        <v>87</v>
      </c>
      <c r="I14" s="30">
        <v>3</v>
      </c>
      <c r="J14" s="34">
        <v>2.93</v>
      </c>
      <c r="K14" s="34">
        <v>3.08</v>
      </c>
      <c r="L14" s="34">
        <v>3.17</v>
      </c>
      <c r="M14" s="34">
        <v>3.06</v>
      </c>
      <c r="N14" s="34">
        <v>0.1212</v>
      </c>
      <c r="O14" s="34">
        <v>7.0000000000000007E-2</v>
      </c>
      <c r="P14" s="34" t="s">
        <v>95</v>
      </c>
    </row>
    <row r="15" spans="1:16" x14ac:dyDescent="0.25">
      <c r="A15" s="31"/>
      <c r="B15" s="31"/>
      <c r="C15" s="33" t="s">
        <v>8</v>
      </c>
      <c r="D15" s="36" t="s">
        <v>80</v>
      </c>
      <c r="E15" s="39" t="s">
        <v>91</v>
      </c>
      <c r="F15" s="36" t="s">
        <v>39</v>
      </c>
      <c r="G15" s="34">
        <f>AVERAGE(0.8,0.83,0.82)</f>
        <v>0.81666666666666654</v>
      </c>
      <c r="H15" s="36" t="s">
        <v>87</v>
      </c>
      <c r="I15" s="98">
        <v>3</v>
      </c>
      <c r="J15" s="97">
        <v>1.05</v>
      </c>
      <c r="K15" s="97">
        <v>1.25</v>
      </c>
      <c r="L15" s="97">
        <v>1.39</v>
      </c>
      <c r="M15" s="97">
        <v>1.23</v>
      </c>
      <c r="N15" s="97">
        <v>0.1709</v>
      </c>
      <c r="O15" s="97">
        <v>9.8659999999999998E-2</v>
      </c>
      <c r="P15" s="97" t="s">
        <v>96</v>
      </c>
    </row>
    <row r="16" spans="1:16" x14ac:dyDescent="0.25">
      <c r="A16" s="31"/>
      <c r="B16" s="31"/>
      <c r="C16" s="33" t="s">
        <v>6</v>
      </c>
      <c r="D16" s="36" t="s">
        <v>80</v>
      </c>
      <c r="E16" s="39" t="s">
        <v>91</v>
      </c>
      <c r="F16" s="36" t="s">
        <v>39</v>
      </c>
      <c r="G16" s="34">
        <f>AVERAGE(0.81,0.87,0.91)</f>
        <v>0.8633333333333334</v>
      </c>
      <c r="H16" s="36" t="s">
        <v>87</v>
      </c>
      <c r="I16" s="98"/>
      <c r="J16" s="97"/>
      <c r="K16" s="97"/>
      <c r="L16" s="97"/>
      <c r="M16" s="97"/>
      <c r="N16" s="97"/>
      <c r="O16" s="97"/>
      <c r="P16" s="97"/>
    </row>
    <row r="17" spans="1:17" x14ac:dyDescent="0.25">
      <c r="A17" s="31" t="s">
        <v>113</v>
      </c>
      <c r="B17" s="31" t="s">
        <v>26</v>
      </c>
      <c r="C17" s="29" t="s">
        <v>7</v>
      </c>
      <c r="D17" s="36" t="s">
        <v>81</v>
      </c>
      <c r="E17" s="39" t="s">
        <v>92</v>
      </c>
      <c r="F17" s="36" t="s">
        <v>39</v>
      </c>
      <c r="G17" s="34">
        <f>AVERAGE(0.9,0.9,0.9,0.89)</f>
        <v>0.89750000000000008</v>
      </c>
      <c r="H17" s="36" t="s">
        <v>87</v>
      </c>
      <c r="I17" s="30">
        <v>4</v>
      </c>
      <c r="J17" s="34">
        <v>553.4</v>
      </c>
      <c r="K17" s="34">
        <v>595.4</v>
      </c>
      <c r="L17" s="34">
        <v>630.6</v>
      </c>
      <c r="M17" s="34">
        <v>593.1</v>
      </c>
      <c r="N17" s="34">
        <v>39.99</v>
      </c>
      <c r="O17" s="34">
        <v>20</v>
      </c>
      <c r="P17" s="34" t="s">
        <v>97</v>
      </c>
    </row>
    <row r="18" spans="1:17" x14ac:dyDescent="0.25">
      <c r="A18" s="31"/>
      <c r="B18" s="31"/>
      <c r="C18" s="37" t="s">
        <v>10</v>
      </c>
      <c r="D18" s="38" t="s">
        <v>81</v>
      </c>
      <c r="E18" s="37" t="s">
        <v>82</v>
      </c>
      <c r="F18" s="38" t="s">
        <v>40</v>
      </c>
      <c r="G18" s="50">
        <f>AVERAGE(0.92,0.91)</f>
        <v>0.91500000000000004</v>
      </c>
      <c r="H18" s="38" t="s">
        <v>93</v>
      </c>
      <c r="I18" s="38" t="s">
        <v>83</v>
      </c>
      <c r="J18" s="49" t="s">
        <v>83</v>
      </c>
      <c r="K18" s="49" t="s">
        <v>83</v>
      </c>
      <c r="L18" s="49" t="s">
        <v>83</v>
      </c>
      <c r="M18" s="49" t="s">
        <v>83</v>
      </c>
      <c r="N18" s="49" t="s">
        <v>83</v>
      </c>
      <c r="O18" s="49" t="s">
        <v>83</v>
      </c>
      <c r="P18" s="49" t="s">
        <v>83</v>
      </c>
    </row>
    <row r="19" spans="1:17" x14ac:dyDescent="0.25">
      <c r="A19" s="31"/>
      <c r="B19" s="31"/>
      <c r="C19" s="37" t="s">
        <v>77</v>
      </c>
      <c r="D19" s="38" t="s">
        <v>83</v>
      </c>
      <c r="E19" s="37" t="s">
        <v>88</v>
      </c>
      <c r="F19" s="38" t="s">
        <v>40</v>
      </c>
      <c r="G19" s="48">
        <f>AVERAGE(0.64,0.64,0.65,0.63)</f>
        <v>0.64</v>
      </c>
      <c r="H19" s="38" t="s">
        <v>93</v>
      </c>
      <c r="I19" s="38" t="s">
        <v>83</v>
      </c>
      <c r="J19" s="49" t="s">
        <v>83</v>
      </c>
      <c r="K19" s="49" t="s">
        <v>83</v>
      </c>
      <c r="L19" s="49" t="s">
        <v>83</v>
      </c>
      <c r="M19" s="49" t="s">
        <v>83</v>
      </c>
      <c r="N19" s="49" t="s">
        <v>83</v>
      </c>
      <c r="O19" s="49" t="s">
        <v>83</v>
      </c>
      <c r="P19" s="49" t="s">
        <v>83</v>
      </c>
    </row>
    <row r="20" spans="1:17" x14ac:dyDescent="0.25">
      <c r="A20" s="31" t="s">
        <v>114</v>
      </c>
      <c r="B20" s="31" t="s">
        <v>22</v>
      </c>
      <c r="C20" s="33" t="s">
        <v>4</v>
      </c>
      <c r="D20" s="36" t="s">
        <v>80</v>
      </c>
      <c r="E20" s="39" t="s">
        <v>90</v>
      </c>
      <c r="F20" s="36" t="s">
        <v>39</v>
      </c>
      <c r="G20" s="34">
        <f>AVERAGE(0.97,0.96,0.95,0.98)</f>
        <v>0.96499999999999997</v>
      </c>
      <c r="H20" s="36" t="s">
        <v>87</v>
      </c>
      <c r="I20" s="30">
        <v>4</v>
      </c>
      <c r="J20" s="34">
        <v>2.258</v>
      </c>
      <c r="K20" s="34">
        <v>2.335</v>
      </c>
      <c r="L20" s="34">
        <v>2.6379999999999999</v>
      </c>
      <c r="M20" s="34">
        <v>2.41</v>
      </c>
      <c r="N20" s="34">
        <v>0.21890000000000001</v>
      </c>
      <c r="O20" s="34">
        <v>0.1095</v>
      </c>
      <c r="P20" s="34" t="s">
        <v>98</v>
      </c>
    </row>
    <row r="21" spans="1:17" x14ac:dyDescent="0.25">
      <c r="A21" s="31"/>
      <c r="B21" s="31"/>
      <c r="C21" s="33" t="s">
        <v>20</v>
      </c>
      <c r="D21" s="36" t="s">
        <v>80</v>
      </c>
      <c r="E21" s="39" t="s">
        <v>92</v>
      </c>
      <c r="F21" s="36" t="s">
        <v>39</v>
      </c>
      <c r="G21" s="34">
        <f>AVERAGE(0.88,0.87,0.88,0.88)</f>
        <v>0.87749999999999995</v>
      </c>
      <c r="H21" s="36" t="s">
        <v>87</v>
      </c>
      <c r="I21" s="30">
        <v>4</v>
      </c>
      <c r="J21" s="34">
        <v>3.448</v>
      </c>
      <c r="K21" s="34">
        <v>3.895</v>
      </c>
      <c r="L21" s="34">
        <v>4.1630000000000003</v>
      </c>
      <c r="M21" s="34">
        <v>3.835</v>
      </c>
      <c r="N21" s="34">
        <v>0.37580000000000002</v>
      </c>
      <c r="O21" s="34">
        <v>0.18790000000000001</v>
      </c>
      <c r="P21" s="34" t="s">
        <v>99</v>
      </c>
    </row>
    <row r="22" spans="1:17" x14ac:dyDescent="0.25">
      <c r="A22" s="41"/>
      <c r="B22" s="41"/>
      <c r="C22" s="42" t="s">
        <v>78</v>
      </c>
      <c r="D22" s="51" t="s">
        <v>79</v>
      </c>
      <c r="E22" s="52" t="s">
        <v>85</v>
      </c>
      <c r="F22" s="51" t="s">
        <v>40</v>
      </c>
      <c r="G22" s="53">
        <f>AVERAGE(0.99,0.97,0.99,0.95)</f>
        <v>0.97500000000000009</v>
      </c>
      <c r="H22" s="51" t="s">
        <v>86</v>
      </c>
      <c r="I22" s="51">
        <v>4</v>
      </c>
      <c r="J22" s="51" t="s">
        <v>83</v>
      </c>
      <c r="K22" s="53" t="s">
        <v>83</v>
      </c>
      <c r="L22" s="53" t="s">
        <v>83</v>
      </c>
      <c r="M22" s="51" t="s">
        <v>83</v>
      </c>
      <c r="N22" s="53" t="s">
        <v>83</v>
      </c>
      <c r="O22" s="53" t="s">
        <v>83</v>
      </c>
      <c r="P22" s="53" t="s">
        <v>83</v>
      </c>
    </row>
    <row r="23" spans="1:17" x14ac:dyDescent="0.25">
      <c r="N23" s="96" t="s">
        <v>240</v>
      </c>
      <c r="O23" s="96"/>
      <c r="P23" s="75" t="s">
        <v>245</v>
      </c>
      <c r="Q23" s="80"/>
    </row>
    <row r="24" spans="1:17" x14ac:dyDescent="0.25">
      <c r="F24" s="73"/>
      <c r="G24" s="66"/>
      <c r="H24" s="73"/>
    </row>
    <row r="25" spans="1:17" x14ac:dyDescent="0.25">
      <c r="F25" s="29"/>
      <c r="G25" s="29"/>
      <c r="H25" s="83"/>
    </row>
    <row r="26" spans="1:17" x14ac:dyDescent="0.25">
      <c r="F26" s="29"/>
      <c r="G26" s="29"/>
      <c r="H26" s="83"/>
    </row>
    <row r="27" spans="1:17" x14ac:dyDescent="0.25">
      <c r="F27" s="29"/>
      <c r="G27" s="29"/>
      <c r="H27" s="83"/>
    </row>
    <row r="28" spans="1:17" x14ac:dyDescent="0.25">
      <c r="F28" s="29"/>
      <c r="G28" s="29"/>
      <c r="H28" s="83"/>
    </row>
    <row r="39" spans="3:16" x14ac:dyDescent="0.25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x14ac:dyDescent="0.25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x14ac:dyDescent="0.25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x14ac:dyDescent="0.25">
      <c r="C42" s="36"/>
      <c r="E42" s="36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x14ac:dyDescent="0.25">
      <c r="C43" s="39"/>
      <c r="D43" s="3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x14ac:dyDescent="0.25">
      <c r="C44" s="36"/>
      <c r="E44" s="36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x14ac:dyDescent="0.25">
      <c r="C45" s="30"/>
      <c r="D45" s="30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x14ac:dyDescent="0.25">
      <c r="C46" s="36"/>
      <c r="E46" s="36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x14ac:dyDescent="0.25">
      <c r="C47" s="30"/>
      <c r="D47" s="30"/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x14ac:dyDescent="0.25">
      <c r="C48" s="30"/>
      <c r="D48" s="30"/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x14ac:dyDescent="0.25">
      <c r="C49" s="30"/>
      <c r="D49" s="30"/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x14ac:dyDescent="0.25">
      <c r="C50" s="30"/>
      <c r="D50" s="30"/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x14ac:dyDescent="0.25">
      <c r="C51" s="30"/>
      <c r="D51" s="30"/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x14ac:dyDescent="0.25">
      <c r="C52" s="30"/>
      <c r="D52" s="30"/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x14ac:dyDescent="0.25">
      <c r="C53" s="30"/>
      <c r="D53" s="30"/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x14ac:dyDescent="0.25">
      <c r="C54" s="30"/>
      <c r="D54" s="30"/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x14ac:dyDescent="0.25"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x14ac:dyDescent="0.25"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x14ac:dyDescent="0.25">
      <c r="N57" s="29"/>
      <c r="O57" s="29"/>
      <c r="P57" s="29"/>
    </row>
  </sheetData>
  <mergeCells count="17">
    <mergeCell ref="I3:I4"/>
    <mergeCell ref="I15:I16"/>
    <mergeCell ref="K3:K4"/>
    <mergeCell ref="J3:J4"/>
    <mergeCell ref="K15:K16"/>
    <mergeCell ref="J15:J16"/>
    <mergeCell ref="L15:L16"/>
    <mergeCell ref="P3:P4"/>
    <mergeCell ref="O3:O4"/>
    <mergeCell ref="N3:N4"/>
    <mergeCell ref="M3:M4"/>
    <mergeCell ref="L3:L4"/>
    <mergeCell ref="N23:O23"/>
    <mergeCell ref="P15:P16"/>
    <mergeCell ref="O15:O16"/>
    <mergeCell ref="N15:N16"/>
    <mergeCell ref="M15:M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/>
  </sheetViews>
  <sheetFormatPr defaultRowHeight="15" x14ac:dyDescent="0.25"/>
  <cols>
    <col min="1" max="1" width="11.85546875" bestFit="1" customWidth="1"/>
    <col min="2" max="2" width="27.85546875" bestFit="1" customWidth="1"/>
    <col min="3" max="3" width="7.7109375" style="28" bestFit="1" customWidth="1"/>
    <col min="4" max="4" width="4.5703125" style="28" bestFit="1" customWidth="1"/>
    <col min="5" max="5" width="7.85546875" style="28" bestFit="1" customWidth="1"/>
    <col min="6" max="6" width="4.5703125" style="28" bestFit="1" customWidth="1"/>
    <col min="7" max="7" width="10" style="28" customWidth="1"/>
    <col min="8" max="8" width="9.140625" style="28"/>
    <col min="9" max="9" width="11" style="28" customWidth="1"/>
  </cols>
  <sheetData>
    <row r="1" spans="1:11" ht="30.75" thickBot="1" x14ac:dyDescent="0.3">
      <c r="A1" s="43" t="s">
        <v>115</v>
      </c>
      <c r="B1" s="43" t="s">
        <v>120</v>
      </c>
      <c r="C1" s="46" t="s">
        <v>237</v>
      </c>
      <c r="D1" s="46" t="s">
        <v>125</v>
      </c>
      <c r="E1" s="46" t="s">
        <v>241</v>
      </c>
      <c r="F1" s="46" t="s">
        <v>126</v>
      </c>
      <c r="G1" s="46" t="s">
        <v>242</v>
      </c>
      <c r="H1" s="46" t="s">
        <v>118</v>
      </c>
      <c r="I1" s="46" t="s">
        <v>119</v>
      </c>
    </row>
    <row r="2" spans="1:11" ht="15.75" thickTop="1" x14ac:dyDescent="0.25">
      <c r="A2" s="31" t="s">
        <v>110</v>
      </c>
      <c r="B2" s="84" t="s">
        <v>250</v>
      </c>
      <c r="C2" s="28">
        <v>3</v>
      </c>
      <c r="D2" s="76">
        <v>0.55569999999999997</v>
      </c>
      <c r="E2" s="76">
        <v>0.56310000000000004</v>
      </c>
      <c r="F2" s="76">
        <v>0.57969999999999999</v>
      </c>
      <c r="G2" s="76">
        <v>0.56620000000000004</v>
      </c>
      <c r="H2" s="76">
        <v>1.2290000000000001E-2</v>
      </c>
      <c r="I2" s="76">
        <v>7.0959999999999999E-3</v>
      </c>
      <c r="J2" s="76"/>
      <c r="K2" s="85"/>
    </row>
    <row r="3" spans="1:11" x14ac:dyDescent="0.25">
      <c r="A3" s="31" t="s">
        <v>110</v>
      </c>
      <c r="B3" t="s">
        <v>251</v>
      </c>
      <c r="C3" s="28">
        <v>4</v>
      </c>
      <c r="D3" s="76">
        <v>0.33829999999999999</v>
      </c>
      <c r="E3" s="76">
        <v>0.4078</v>
      </c>
      <c r="F3" s="76">
        <v>0.46060000000000001</v>
      </c>
      <c r="G3" s="76">
        <v>0.4022</v>
      </c>
      <c r="H3" s="76">
        <v>6.6420000000000007E-2</v>
      </c>
      <c r="I3" s="76">
        <v>3.3210000000000003E-2</v>
      </c>
      <c r="J3" s="76"/>
      <c r="K3" s="85"/>
    </row>
    <row r="4" spans="1:11" x14ac:dyDescent="0.25">
      <c r="A4" s="31" t="s">
        <v>111</v>
      </c>
      <c r="B4" t="s">
        <v>23</v>
      </c>
      <c r="C4" s="28">
        <v>4</v>
      </c>
      <c r="D4" s="76">
        <v>0.17899999999999999</v>
      </c>
      <c r="E4" s="76">
        <v>0.20019999999999999</v>
      </c>
      <c r="F4" s="76">
        <v>0.22989999999999999</v>
      </c>
      <c r="G4" s="76">
        <v>0.20300000000000001</v>
      </c>
      <c r="H4" s="76">
        <v>2.6579999999999999E-2</v>
      </c>
      <c r="I4" s="76">
        <v>1.329E-2</v>
      </c>
      <c r="J4" s="76"/>
      <c r="K4" s="85"/>
    </row>
    <row r="5" spans="1:11" x14ac:dyDescent="0.25">
      <c r="A5" s="31" t="s">
        <v>112</v>
      </c>
      <c r="B5" t="s">
        <v>24</v>
      </c>
      <c r="C5" s="28">
        <v>6</v>
      </c>
      <c r="D5" s="76">
        <v>1.653E-2</v>
      </c>
      <c r="E5" s="76">
        <v>2.9700000000000001E-2</v>
      </c>
      <c r="F5" s="76">
        <v>4.2700000000000002E-2</v>
      </c>
      <c r="G5" s="76">
        <v>2.9520000000000001E-2</v>
      </c>
      <c r="H5" s="76">
        <v>1.3899999999999999E-2</v>
      </c>
      <c r="I5" s="76">
        <v>5.6750000000000004E-3</v>
      </c>
      <c r="J5" s="76"/>
      <c r="K5" s="85"/>
    </row>
    <row r="6" spans="1:11" x14ac:dyDescent="0.25">
      <c r="A6" s="31" t="s">
        <v>113</v>
      </c>
      <c r="B6" t="s">
        <v>26</v>
      </c>
      <c r="C6" s="28">
        <v>4</v>
      </c>
      <c r="D6" s="76">
        <v>2.7629999999999999</v>
      </c>
      <c r="E6" s="76">
        <v>2.9729999999999999</v>
      </c>
      <c r="F6" s="76">
        <v>3.1480000000000001</v>
      </c>
      <c r="G6" s="76">
        <v>2.9609999999999999</v>
      </c>
      <c r="H6" s="76">
        <v>0.19969999999999999</v>
      </c>
      <c r="I6" s="76">
        <v>9.9839999999999998E-2</v>
      </c>
      <c r="J6" s="76"/>
      <c r="K6" s="85"/>
    </row>
    <row r="7" spans="1:11" x14ac:dyDescent="0.25">
      <c r="A7" s="31" t="s">
        <v>114</v>
      </c>
      <c r="B7" t="s">
        <v>22</v>
      </c>
      <c r="C7" s="28">
        <v>8</v>
      </c>
      <c r="D7" s="76">
        <v>3.918E-2</v>
      </c>
      <c r="E7" s="76">
        <v>5.1150000000000001E-2</v>
      </c>
      <c r="F7" s="76">
        <v>6.6930000000000003E-2</v>
      </c>
      <c r="G7" s="76">
        <v>5.2600000000000001E-2</v>
      </c>
      <c r="H7" s="76">
        <v>1.372E-2</v>
      </c>
      <c r="I7" s="76">
        <v>4.8510000000000003E-3</v>
      </c>
      <c r="J7" s="76"/>
      <c r="K7" s="85"/>
    </row>
    <row r="8" spans="1:11" x14ac:dyDescent="0.25">
      <c r="A8" s="31" t="s">
        <v>109</v>
      </c>
      <c r="B8" t="s">
        <v>25</v>
      </c>
      <c r="C8" s="28">
        <v>8</v>
      </c>
      <c r="D8" s="76">
        <v>0.36399999999999999</v>
      </c>
      <c r="E8" s="76">
        <v>0.82579999999999998</v>
      </c>
      <c r="F8" s="76">
        <v>1.4350000000000001</v>
      </c>
      <c r="G8" s="76">
        <v>0.88639999999999997</v>
      </c>
      <c r="H8" s="76">
        <v>0.54790000000000005</v>
      </c>
      <c r="I8" s="76">
        <v>0.19370000000000001</v>
      </c>
      <c r="J8" s="76"/>
      <c r="K8" s="85"/>
    </row>
    <row r="9" spans="1:11" x14ac:dyDescent="0.25">
      <c r="A9" s="31" t="s">
        <v>106</v>
      </c>
      <c r="B9" t="s">
        <v>145</v>
      </c>
      <c r="C9" s="28">
        <v>8</v>
      </c>
      <c r="D9" s="76">
        <v>3.1800000000000002E-2</v>
      </c>
      <c r="E9" s="76">
        <v>5.9200000000000003E-2</v>
      </c>
      <c r="F9" s="76">
        <v>9.7030000000000005E-2</v>
      </c>
      <c r="G9" s="76">
        <v>6.2839999999999993E-2</v>
      </c>
      <c r="H9" s="76">
        <v>3.3709999999999997E-2</v>
      </c>
      <c r="I9" s="76">
        <v>1.192E-2</v>
      </c>
      <c r="J9" s="76"/>
      <c r="K9" s="85"/>
    </row>
    <row r="10" spans="1:11" x14ac:dyDescent="0.25">
      <c r="A10" s="31" t="s">
        <v>107</v>
      </c>
      <c r="B10" t="s">
        <v>239</v>
      </c>
      <c r="C10" s="28">
        <v>4</v>
      </c>
      <c r="D10" s="76">
        <v>6.2280000000000002E-2</v>
      </c>
      <c r="E10" s="76">
        <v>6.8500000000000005E-2</v>
      </c>
      <c r="F10" s="76">
        <v>7.1730000000000002E-2</v>
      </c>
      <c r="G10" s="76">
        <v>6.7500000000000004E-2</v>
      </c>
      <c r="H10" s="76">
        <v>5.0870000000000004E-3</v>
      </c>
      <c r="I10" s="76">
        <v>2.5430000000000001E-3</v>
      </c>
      <c r="J10" s="76"/>
      <c r="K10" s="85"/>
    </row>
    <row r="11" spans="1:11" x14ac:dyDescent="0.25">
      <c r="A11" s="70" t="s">
        <v>108</v>
      </c>
      <c r="B11" s="77" t="s">
        <v>236</v>
      </c>
      <c r="C11" s="78">
        <v>8</v>
      </c>
      <c r="D11" s="79">
        <v>6.1530000000000001E-2</v>
      </c>
      <c r="E11" s="79">
        <v>7.4550000000000005E-2</v>
      </c>
      <c r="F11" s="79">
        <v>9.078E-2</v>
      </c>
      <c r="G11" s="79">
        <v>7.5700000000000003E-2</v>
      </c>
      <c r="H11" s="79">
        <v>1.422E-2</v>
      </c>
      <c r="I11" s="79">
        <v>5.0270000000000002E-3</v>
      </c>
      <c r="J11" s="76"/>
      <c r="K11" s="85"/>
    </row>
    <row r="12" spans="1:11" x14ac:dyDescent="0.25">
      <c r="K12" s="31"/>
    </row>
    <row r="14" spans="1:11" x14ac:dyDescent="0.25">
      <c r="G14" s="99"/>
      <c r="H14" s="99"/>
      <c r="I14" s="99"/>
    </row>
    <row r="15" spans="1:11" x14ac:dyDescent="0.25">
      <c r="G15" s="99"/>
      <c r="H15" s="99"/>
      <c r="I15" s="99"/>
      <c r="K15" s="31"/>
    </row>
    <row r="16" spans="1:11" x14ac:dyDescent="0.25">
      <c r="G16" s="99"/>
      <c r="H16" s="99"/>
      <c r="I16" s="99"/>
    </row>
    <row r="17" spans="7:11" x14ac:dyDescent="0.25">
      <c r="G17" s="99"/>
      <c r="H17" s="99"/>
      <c r="I17" s="99"/>
      <c r="K17" s="31"/>
    </row>
    <row r="18" spans="7:11" x14ac:dyDescent="0.25">
      <c r="K18" s="31"/>
    </row>
    <row r="20" spans="7:11" x14ac:dyDescent="0.25">
      <c r="K20" s="31"/>
    </row>
    <row r="21" spans="7:11" x14ac:dyDescent="0.25">
      <c r="K21" s="31"/>
    </row>
    <row r="22" spans="7:11" x14ac:dyDescent="0.25">
      <c r="K22" s="31"/>
    </row>
  </sheetData>
  <mergeCells count="4">
    <mergeCell ref="G17:I17"/>
    <mergeCell ref="G16:I16"/>
    <mergeCell ref="G14:I14"/>
    <mergeCell ref="G15:I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/>
  </sheetViews>
  <sheetFormatPr defaultRowHeight="15" x14ac:dyDescent="0.25"/>
  <cols>
    <col min="1" max="1" width="35.140625" bestFit="1" customWidth="1"/>
    <col min="2" max="2" width="37.42578125" bestFit="1" customWidth="1"/>
    <col min="3" max="3" width="24.42578125" style="28" bestFit="1" customWidth="1"/>
    <col min="4" max="4" width="24.28515625" style="28" customWidth="1"/>
    <col min="5" max="5" width="20.140625" style="28" customWidth="1"/>
    <col min="6" max="6" width="12.5703125" style="28" bestFit="1" customWidth="1"/>
  </cols>
  <sheetData>
    <row r="1" spans="1:10" ht="37.5" customHeight="1" thickBot="1" x14ac:dyDescent="0.3">
      <c r="A1" s="43" t="s">
        <v>115</v>
      </c>
      <c r="B1" s="43" t="s">
        <v>247</v>
      </c>
      <c r="C1" s="46" t="s">
        <v>223</v>
      </c>
      <c r="D1" s="46" t="s">
        <v>224</v>
      </c>
      <c r="E1" s="46" t="s">
        <v>252</v>
      </c>
    </row>
    <row r="2" spans="1:10" ht="15.75" thickTop="1" x14ac:dyDescent="0.25">
      <c r="A2" s="31" t="s">
        <v>110</v>
      </c>
      <c r="B2" s="88" t="s">
        <v>248</v>
      </c>
      <c r="C2" s="67">
        <f>20.69*10^-15</f>
        <v>2.0690000000000001E-14</v>
      </c>
      <c r="D2" s="67">
        <f>C2*6.0221415E+23</f>
        <v>12459810763.500002</v>
      </c>
      <c r="E2" s="69">
        <f>D2/C$15</f>
        <v>6416802.5432025008</v>
      </c>
      <c r="F2" s="91"/>
    </row>
    <row r="3" spans="1:10" x14ac:dyDescent="0.25">
      <c r="A3" s="31" t="s">
        <v>110</v>
      </c>
      <c r="B3" s="81" t="s">
        <v>249</v>
      </c>
      <c r="C3" s="67">
        <f>14.7*10^-15</f>
        <v>1.47E-14</v>
      </c>
      <c r="D3" s="67">
        <f>C3*6.0221415E+23</f>
        <v>8852548005</v>
      </c>
      <c r="E3" s="69">
        <f>D3/C$15</f>
        <v>4559062.2225749996</v>
      </c>
      <c r="F3" s="91"/>
    </row>
    <row r="4" spans="1:10" x14ac:dyDescent="0.25">
      <c r="A4" s="31" t="s">
        <v>111</v>
      </c>
      <c r="B4" t="s">
        <v>227</v>
      </c>
      <c r="C4" s="67">
        <f>19*10^-15</f>
        <v>1.9000000000000001E-14</v>
      </c>
      <c r="D4" s="67">
        <f t="shared" ref="D4:D11" si="0">C4*6.0221415E+23</f>
        <v>11442068850.000002</v>
      </c>
      <c r="E4" s="69">
        <f>D4/C$15</f>
        <v>5892665.457750001</v>
      </c>
      <c r="F4" s="91"/>
    </row>
    <row r="5" spans="1:10" x14ac:dyDescent="0.25">
      <c r="A5" s="31" t="s">
        <v>112</v>
      </c>
      <c r="B5" t="s">
        <v>229</v>
      </c>
      <c r="C5" s="67">
        <f>2.145*10^-15</f>
        <v>2.1450000000000003E-15</v>
      </c>
      <c r="D5" s="67">
        <f t="shared" si="0"/>
        <v>1291749351.7500002</v>
      </c>
      <c r="E5" s="69">
        <f>D5/C$15</f>
        <v>665250.91615125013</v>
      </c>
      <c r="F5" s="91"/>
    </row>
    <row r="6" spans="1:10" x14ac:dyDescent="0.25">
      <c r="A6" s="31" t="s">
        <v>113</v>
      </c>
      <c r="B6" t="s">
        <v>234</v>
      </c>
      <c r="C6" s="67">
        <f>593.1*10^-15</f>
        <v>5.9310000000000007E-13</v>
      </c>
      <c r="D6" s="67">
        <f t="shared" si="0"/>
        <v>357173212365.00006</v>
      </c>
      <c r="E6" s="69">
        <f>D6/C$14</f>
        <v>245258939.15730003</v>
      </c>
      <c r="F6" s="91"/>
    </row>
    <row r="7" spans="1:10" x14ac:dyDescent="0.25">
      <c r="A7" s="31" t="s">
        <v>114</v>
      </c>
      <c r="B7" t="s">
        <v>228</v>
      </c>
      <c r="C7" s="67">
        <f>3.123*10^-15</f>
        <v>3.1230000000000005E-15</v>
      </c>
      <c r="D7" s="67">
        <f t="shared" si="0"/>
        <v>1880714790.4500003</v>
      </c>
      <c r="E7" s="69">
        <f>D7/C$15</f>
        <v>968568.11708175007</v>
      </c>
      <c r="F7" s="91"/>
    </row>
    <row r="8" spans="1:10" x14ac:dyDescent="0.25">
      <c r="A8" s="31" t="s">
        <v>109</v>
      </c>
      <c r="B8" t="s">
        <v>230</v>
      </c>
      <c r="C8" s="67">
        <f>39.26*10^-15</f>
        <v>3.9260000000000001E-14</v>
      </c>
      <c r="D8" s="67">
        <f t="shared" si="0"/>
        <v>23642927529.000004</v>
      </c>
      <c r="E8" s="69">
        <f>D8/C$15</f>
        <v>12176107.677435001</v>
      </c>
      <c r="F8" s="91"/>
    </row>
    <row r="9" spans="1:10" x14ac:dyDescent="0.25">
      <c r="A9" s="31" t="s">
        <v>108</v>
      </c>
      <c r="B9" t="s">
        <v>231</v>
      </c>
      <c r="C9" s="67">
        <f>2.381*10^-15</f>
        <v>2.3809999999999998E-15</v>
      </c>
      <c r="D9" s="67">
        <f t="shared" si="0"/>
        <v>1433871891.1500001</v>
      </c>
      <c r="E9" s="69">
        <f>D9/C$15</f>
        <v>738444.02394224994</v>
      </c>
      <c r="F9"/>
    </row>
    <row r="10" spans="1:10" x14ac:dyDescent="0.25">
      <c r="A10" s="31" t="s">
        <v>106</v>
      </c>
      <c r="B10" t="s">
        <v>232</v>
      </c>
      <c r="C10" s="67">
        <f>1.449*10^-15</f>
        <v>1.4490000000000003E-15</v>
      </c>
      <c r="D10" s="67">
        <f t="shared" si="0"/>
        <v>872608303.35000026</v>
      </c>
      <c r="E10" s="69">
        <f>D10/C$15</f>
        <v>449393.2762252501</v>
      </c>
      <c r="F10"/>
    </row>
    <row r="11" spans="1:10" x14ac:dyDescent="0.25">
      <c r="A11" s="70" t="s">
        <v>107</v>
      </c>
      <c r="B11" s="70" t="s">
        <v>233</v>
      </c>
      <c r="C11" s="71">
        <f>1.218*10^-15</f>
        <v>1.2180000000000001E-15</v>
      </c>
      <c r="D11" s="71">
        <f t="shared" si="0"/>
        <v>733496834.70000005</v>
      </c>
      <c r="E11" s="72">
        <f>D11/C$15</f>
        <v>377750.8698705</v>
      </c>
      <c r="F11" s="91"/>
    </row>
    <row r="13" spans="1:10" s="63" customFormat="1" ht="17.25" x14ac:dyDescent="0.25">
      <c r="B13" s="68" t="s">
        <v>221</v>
      </c>
      <c r="C13" s="64" t="s">
        <v>222</v>
      </c>
      <c r="D13" s="68"/>
      <c r="E13" s="87"/>
      <c r="F13" s="68"/>
      <c r="G13" s="84"/>
      <c r="H13" s="76"/>
      <c r="J13" s="81"/>
    </row>
    <row r="14" spans="1:10" x14ac:dyDescent="0.25">
      <c r="A14" s="31" t="s">
        <v>225</v>
      </c>
      <c r="B14" s="28">
        <v>750</v>
      </c>
      <c r="C14" s="65">
        <f>(1/0.515)*B14</f>
        <v>1456.3106796116506</v>
      </c>
      <c r="D14" s="86"/>
      <c r="E14" s="84"/>
      <c r="G14" s="84"/>
      <c r="H14" s="89"/>
    </row>
    <row r="15" spans="1:10" x14ac:dyDescent="0.25">
      <c r="A15" s="31" t="s">
        <v>226</v>
      </c>
      <c r="B15" s="28">
        <v>1000</v>
      </c>
      <c r="C15" s="65">
        <f>(1/0.515)*B15</f>
        <v>1941.7475728155341</v>
      </c>
      <c r="D15" s="86"/>
      <c r="E15" s="84"/>
      <c r="G15" s="84"/>
      <c r="H15" s="89"/>
    </row>
    <row r="16" spans="1:10" x14ac:dyDescent="0.25">
      <c r="A16" s="31"/>
      <c r="D16" s="86"/>
      <c r="E16" s="84"/>
      <c r="G16" s="84"/>
      <c r="H16" s="76"/>
    </row>
    <row r="17" spans="1:8" ht="15" customHeight="1" x14ac:dyDescent="0.25">
      <c r="A17" s="100" t="s">
        <v>220</v>
      </c>
      <c r="B17" s="100"/>
      <c r="C17" s="100"/>
      <c r="D17" s="100"/>
      <c r="E17" s="100"/>
      <c r="G17" s="84"/>
      <c r="H17" s="76"/>
    </row>
    <row r="18" spans="1:8" x14ac:dyDescent="0.25">
      <c r="A18" s="100"/>
      <c r="B18" s="100"/>
      <c r="C18" s="100"/>
      <c r="D18" s="100"/>
      <c r="E18" s="100"/>
      <c r="G18" s="84"/>
      <c r="H18" s="76"/>
    </row>
    <row r="19" spans="1:8" x14ac:dyDescent="0.25">
      <c r="A19" s="90"/>
      <c r="B19" s="90"/>
      <c r="C19" s="90"/>
      <c r="D19" s="86"/>
      <c r="E19" s="84"/>
      <c r="G19" s="84"/>
      <c r="H19" s="76"/>
    </row>
    <row r="20" spans="1:8" ht="15" customHeight="1" x14ac:dyDescent="0.25">
      <c r="A20" s="100" t="s">
        <v>235</v>
      </c>
      <c r="B20" s="100"/>
      <c r="C20" s="100"/>
      <c r="D20" s="100"/>
      <c r="E20" s="100"/>
      <c r="G20" s="84"/>
      <c r="H20" s="76"/>
    </row>
    <row r="21" spans="1:8" x14ac:dyDescent="0.25">
      <c r="A21" s="100"/>
      <c r="B21" s="100"/>
      <c r="C21" s="100"/>
      <c r="D21" s="100"/>
      <c r="E21" s="100"/>
      <c r="G21" s="84"/>
      <c r="H21" s="76"/>
    </row>
    <row r="22" spans="1:8" x14ac:dyDescent="0.25">
      <c r="A22" s="90"/>
      <c r="B22" s="90"/>
      <c r="C22" s="90"/>
      <c r="D22" s="86"/>
      <c r="G22" s="28"/>
    </row>
    <row r="23" spans="1:8" x14ac:dyDescent="0.25">
      <c r="D23" s="86"/>
      <c r="G23" s="28"/>
    </row>
  </sheetData>
  <mergeCells count="2">
    <mergeCell ref="A17:E18"/>
    <mergeCell ref="A20:E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G24"/>
  <sheetViews>
    <sheetView workbookViewId="0">
      <selection activeCell="G21" sqref="G21"/>
    </sheetView>
  </sheetViews>
  <sheetFormatPr defaultRowHeight="15.95" customHeight="1" x14ac:dyDescent="0.25"/>
  <cols>
    <col min="1" max="1" width="16.28515625" bestFit="1" customWidth="1"/>
    <col min="2" max="2" width="13.5703125" bestFit="1" customWidth="1"/>
    <col min="3" max="3" width="27" bestFit="1" customWidth="1"/>
    <col min="4" max="4" width="8.5703125" customWidth="1"/>
    <col min="5" max="5" width="15.42578125" style="28" bestFit="1" customWidth="1"/>
    <col min="6" max="6" width="2.42578125" style="28" bestFit="1" customWidth="1"/>
    <col min="7" max="7" width="55.7109375" style="28" bestFit="1" customWidth="1"/>
  </cols>
  <sheetData>
    <row r="1" spans="1:7" ht="15.95" customHeight="1" x14ac:dyDescent="0.25">
      <c r="A1" s="63" t="s">
        <v>115</v>
      </c>
      <c r="B1" s="54" t="s">
        <v>120</v>
      </c>
      <c r="C1" s="54" t="s">
        <v>32</v>
      </c>
      <c r="D1" s="54"/>
      <c r="E1" s="55" t="s">
        <v>153</v>
      </c>
      <c r="F1" s="56" t="s">
        <v>28</v>
      </c>
      <c r="G1" s="55" t="s">
        <v>154</v>
      </c>
    </row>
    <row r="2" spans="1:7" ht="15.95" customHeight="1" x14ac:dyDescent="0.25">
      <c r="A2" s="31" t="s">
        <v>110</v>
      </c>
      <c r="B2" s="57" t="s">
        <v>27</v>
      </c>
      <c r="C2" s="57" t="s">
        <v>16</v>
      </c>
      <c r="D2" s="57" t="s">
        <v>197</v>
      </c>
      <c r="E2" s="58">
        <v>453.60629999999998</v>
      </c>
      <c r="F2" s="58">
        <v>3</v>
      </c>
      <c r="G2" s="58" t="s">
        <v>128</v>
      </c>
    </row>
    <row r="3" spans="1:7" ht="15.95" customHeight="1" x14ac:dyDescent="0.25">
      <c r="B3" s="59"/>
      <c r="C3" s="57" t="s">
        <v>1</v>
      </c>
      <c r="D3" s="57" t="s">
        <v>198</v>
      </c>
      <c r="E3" s="58">
        <v>401.53859999999997</v>
      </c>
      <c r="F3" s="58">
        <v>3</v>
      </c>
      <c r="G3" s="58" t="s">
        <v>129</v>
      </c>
    </row>
    <row r="4" spans="1:7" ht="15.95" customHeight="1" x14ac:dyDescent="0.25">
      <c r="A4" s="31" t="s">
        <v>111</v>
      </c>
      <c r="B4" s="57" t="s">
        <v>23</v>
      </c>
      <c r="C4" s="57" t="s">
        <v>5</v>
      </c>
      <c r="D4" s="57" t="s">
        <v>199</v>
      </c>
      <c r="E4" s="58">
        <v>699.83600000000001</v>
      </c>
      <c r="F4" s="58">
        <v>2</v>
      </c>
      <c r="G4" s="58" t="s">
        <v>130</v>
      </c>
    </row>
    <row r="5" spans="1:7" ht="15.95" customHeight="1" x14ac:dyDescent="0.25">
      <c r="A5" s="31" t="s">
        <v>112</v>
      </c>
      <c r="B5" s="57" t="s">
        <v>24</v>
      </c>
      <c r="C5" s="57" t="s">
        <v>12</v>
      </c>
      <c r="D5" s="57" t="s">
        <v>200</v>
      </c>
      <c r="E5" s="58">
        <v>835.88850000000002</v>
      </c>
      <c r="F5" s="58">
        <v>2</v>
      </c>
      <c r="G5" s="58" t="s">
        <v>131</v>
      </c>
    </row>
    <row r="6" spans="1:7" ht="15.95" customHeight="1" x14ac:dyDescent="0.25">
      <c r="B6" s="59"/>
      <c r="C6" s="57" t="s">
        <v>8</v>
      </c>
      <c r="D6" s="57" t="s">
        <v>201</v>
      </c>
      <c r="E6" s="58">
        <v>620.28949999999998</v>
      </c>
      <c r="F6" s="58">
        <v>3</v>
      </c>
      <c r="G6" s="58" t="s">
        <v>132</v>
      </c>
    </row>
    <row r="7" spans="1:7" ht="15.95" customHeight="1" x14ac:dyDescent="0.25">
      <c r="B7" s="57"/>
      <c r="C7" s="57" t="s">
        <v>6</v>
      </c>
      <c r="D7" s="57" t="s">
        <v>202</v>
      </c>
      <c r="E7" s="58">
        <v>625.62120000000004</v>
      </c>
      <c r="F7" s="58">
        <v>3</v>
      </c>
      <c r="G7" s="58" t="s">
        <v>133</v>
      </c>
    </row>
    <row r="8" spans="1:7" ht="15.95" customHeight="1" x14ac:dyDescent="0.25">
      <c r="A8" s="31" t="s">
        <v>113</v>
      </c>
      <c r="B8" s="57" t="s">
        <v>26</v>
      </c>
      <c r="C8" s="57" t="s">
        <v>10</v>
      </c>
      <c r="D8" s="57" t="s">
        <v>203</v>
      </c>
      <c r="E8" s="58">
        <v>822.9085</v>
      </c>
      <c r="F8" s="58">
        <v>2</v>
      </c>
      <c r="G8" s="58" t="s">
        <v>134</v>
      </c>
    </row>
    <row r="9" spans="1:7" ht="15.95" customHeight="1" x14ac:dyDescent="0.25">
      <c r="B9" s="59"/>
      <c r="C9" s="57" t="s">
        <v>195</v>
      </c>
      <c r="D9" s="57" t="s">
        <v>204</v>
      </c>
      <c r="E9" s="58">
        <v>702.84130000000005</v>
      </c>
      <c r="F9" s="58">
        <v>2</v>
      </c>
      <c r="G9" s="58" t="s">
        <v>135</v>
      </c>
    </row>
    <row r="10" spans="1:7" ht="15.95" customHeight="1" x14ac:dyDescent="0.25">
      <c r="B10" s="59"/>
      <c r="C10" s="57" t="s">
        <v>196</v>
      </c>
      <c r="D10" s="57" t="s">
        <v>205</v>
      </c>
      <c r="E10" s="58">
        <v>847.41790000000003</v>
      </c>
      <c r="F10" s="58">
        <v>3</v>
      </c>
      <c r="G10" s="58" t="s">
        <v>136</v>
      </c>
    </row>
    <row r="11" spans="1:7" ht="15.95" customHeight="1" x14ac:dyDescent="0.25">
      <c r="B11" s="57"/>
      <c r="C11" s="57" t="s">
        <v>193</v>
      </c>
      <c r="D11" s="57" t="s">
        <v>206</v>
      </c>
      <c r="E11" s="58">
        <v>804.71960000000001</v>
      </c>
      <c r="F11" s="58">
        <v>3</v>
      </c>
      <c r="G11" s="58" t="s">
        <v>137</v>
      </c>
    </row>
    <row r="12" spans="1:7" ht="15.95" customHeight="1" x14ac:dyDescent="0.25">
      <c r="A12" s="31" t="s">
        <v>114</v>
      </c>
      <c r="B12" s="57" t="s">
        <v>22</v>
      </c>
      <c r="C12" s="57" t="s">
        <v>20</v>
      </c>
      <c r="D12" s="57" t="s">
        <v>207</v>
      </c>
      <c r="E12" s="58">
        <v>435.90179999999998</v>
      </c>
      <c r="F12" s="58">
        <v>3</v>
      </c>
      <c r="G12" s="58" t="s">
        <v>138</v>
      </c>
    </row>
    <row r="13" spans="1:7" ht="15.95" customHeight="1" x14ac:dyDescent="0.25">
      <c r="B13" s="59"/>
      <c r="C13" s="57" t="s">
        <v>4</v>
      </c>
      <c r="D13" s="57" t="s">
        <v>208</v>
      </c>
      <c r="E13" s="58">
        <v>718.375</v>
      </c>
      <c r="F13" s="58">
        <v>2</v>
      </c>
      <c r="G13" s="58" t="s">
        <v>139</v>
      </c>
    </row>
    <row r="14" spans="1:7" ht="15.95" customHeight="1" x14ac:dyDescent="0.25">
      <c r="B14" s="59"/>
      <c r="C14" s="57" t="s">
        <v>9</v>
      </c>
      <c r="D14" s="57" t="s">
        <v>209</v>
      </c>
      <c r="E14" s="58">
        <v>368.5367</v>
      </c>
      <c r="F14" s="58">
        <v>3</v>
      </c>
      <c r="G14" s="58" t="s">
        <v>194</v>
      </c>
    </row>
    <row r="15" spans="1:7" ht="15.95" customHeight="1" x14ac:dyDescent="0.25">
      <c r="A15" s="31" t="s">
        <v>109</v>
      </c>
      <c r="B15" s="57" t="s">
        <v>25</v>
      </c>
      <c r="C15" s="57" t="s">
        <v>19</v>
      </c>
      <c r="D15" s="57" t="s">
        <v>210</v>
      </c>
      <c r="E15" s="58">
        <v>648.82389999999998</v>
      </c>
      <c r="F15" s="58">
        <v>2</v>
      </c>
      <c r="G15" s="58" t="s">
        <v>140</v>
      </c>
    </row>
    <row r="16" spans="1:7" ht="15.95" customHeight="1" x14ac:dyDescent="0.25">
      <c r="B16" s="59"/>
      <c r="C16" s="57" t="s">
        <v>0</v>
      </c>
      <c r="D16" s="57" t="s">
        <v>211</v>
      </c>
      <c r="E16" s="58">
        <v>748.4008</v>
      </c>
      <c r="F16" s="58">
        <v>2</v>
      </c>
      <c r="G16" s="58" t="s">
        <v>141</v>
      </c>
    </row>
    <row r="17" spans="1:7" ht="15.95" customHeight="1" x14ac:dyDescent="0.25">
      <c r="A17" s="31" t="s">
        <v>108</v>
      </c>
      <c r="B17" s="57" t="s">
        <v>142</v>
      </c>
      <c r="C17" s="57" t="s">
        <v>2</v>
      </c>
      <c r="D17" s="57" t="s">
        <v>212</v>
      </c>
      <c r="E17" s="58">
        <v>618.68759999999997</v>
      </c>
      <c r="F17" s="58">
        <v>3</v>
      </c>
      <c r="G17" s="58" t="s">
        <v>143</v>
      </c>
    </row>
    <row r="18" spans="1:7" ht="15.95" customHeight="1" x14ac:dyDescent="0.25">
      <c r="B18" s="59"/>
      <c r="C18" s="57" t="s">
        <v>11</v>
      </c>
      <c r="D18" s="57" t="s">
        <v>213</v>
      </c>
      <c r="E18" s="58">
        <v>613.34860000000003</v>
      </c>
      <c r="F18" s="58">
        <v>2</v>
      </c>
      <c r="G18" s="58" t="s">
        <v>144</v>
      </c>
    </row>
    <row r="19" spans="1:7" ht="15.95" customHeight="1" x14ac:dyDescent="0.25">
      <c r="A19" s="31" t="s">
        <v>106</v>
      </c>
      <c r="B19" s="57" t="s">
        <v>145</v>
      </c>
      <c r="C19" s="57" t="s">
        <v>13</v>
      </c>
      <c r="D19" s="57" t="s">
        <v>214</v>
      </c>
      <c r="E19" s="58">
        <v>844.94309999999996</v>
      </c>
      <c r="F19" s="58">
        <v>2</v>
      </c>
      <c r="G19" s="58" t="s">
        <v>146</v>
      </c>
    </row>
    <row r="20" spans="1:7" ht="15.95" customHeight="1" x14ac:dyDescent="0.25">
      <c r="B20" s="57"/>
      <c r="C20" s="57" t="s">
        <v>3</v>
      </c>
      <c r="D20" s="57" t="s">
        <v>215</v>
      </c>
      <c r="E20" s="58">
        <v>852.94050000000004</v>
      </c>
      <c r="F20" s="58">
        <v>2</v>
      </c>
      <c r="G20" s="58" t="s">
        <v>155</v>
      </c>
    </row>
    <row r="21" spans="1:7" ht="15.95" customHeight="1" x14ac:dyDescent="0.25">
      <c r="B21" s="59"/>
      <c r="C21" s="57" t="s">
        <v>15</v>
      </c>
      <c r="D21" s="57" t="s">
        <v>216</v>
      </c>
      <c r="E21" s="58">
        <v>667.83500000000004</v>
      </c>
      <c r="F21" s="58">
        <v>2</v>
      </c>
      <c r="G21" s="58" t="s">
        <v>147</v>
      </c>
    </row>
    <row r="22" spans="1:7" ht="15.95" customHeight="1" x14ac:dyDescent="0.25">
      <c r="A22" s="31" t="s">
        <v>107</v>
      </c>
      <c r="B22" s="57" t="s">
        <v>30</v>
      </c>
      <c r="C22" s="57" t="s">
        <v>14</v>
      </c>
      <c r="D22" s="57" t="s">
        <v>217</v>
      </c>
      <c r="E22" s="58">
        <v>736.82569999999998</v>
      </c>
      <c r="F22" s="58">
        <v>2</v>
      </c>
      <c r="G22" s="58" t="s">
        <v>148</v>
      </c>
    </row>
    <row r="23" spans="1:7" ht="15.95" customHeight="1" x14ac:dyDescent="0.25">
      <c r="B23" s="57"/>
      <c r="C23" s="57" t="s">
        <v>17</v>
      </c>
      <c r="D23" s="57" t="s">
        <v>218</v>
      </c>
      <c r="E23" s="58">
        <v>685.02250000000004</v>
      </c>
      <c r="F23" s="58">
        <v>3</v>
      </c>
      <c r="G23" s="58" t="s">
        <v>149</v>
      </c>
    </row>
    <row r="24" spans="1:7" ht="15.95" customHeight="1" x14ac:dyDescent="0.25">
      <c r="A24" t="s">
        <v>83</v>
      </c>
      <c r="B24" s="57" t="s">
        <v>150</v>
      </c>
      <c r="C24" s="57" t="s">
        <v>151</v>
      </c>
      <c r="D24" s="57" t="s">
        <v>219</v>
      </c>
      <c r="E24" s="58">
        <v>785.84209999999996</v>
      </c>
      <c r="F24" s="58">
        <v>2</v>
      </c>
      <c r="G24" s="58" t="s">
        <v>152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L67"/>
  <sheetViews>
    <sheetView workbookViewId="0">
      <selection activeCell="A3" sqref="A3"/>
    </sheetView>
  </sheetViews>
  <sheetFormatPr defaultRowHeight="15" x14ac:dyDescent="0.25"/>
  <cols>
    <col min="1" max="1" width="26.42578125" customWidth="1"/>
    <col min="12" max="12" width="24.85546875" customWidth="1"/>
    <col min="13" max="13" width="24" customWidth="1"/>
  </cols>
  <sheetData>
    <row r="1" spans="1:12" x14ac:dyDescent="0.25">
      <c r="B1" s="101" t="s">
        <v>156</v>
      </c>
      <c r="C1" s="101"/>
      <c r="D1" s="101"/>
      <c r="E1" s="101"/>
      <c r="G1" s="101" t="s">
        <v>157</v>
      </c>
      <c r="H1" s="101"/>
      <c r="I1" s="101"/>
      <c r="J1" s="101"/>
    </row>
    <row r="2" spans="1:12" x14ac:dyDescent="0.25">
      <c r="B2">
        <v>1</v>
      </c>
      <c r="C2">
        <v>2</v>
      </c>
      <c r="D2">
        <v>3</v>
      </c>
      <c r="E2">
        <v>4</v>
      </c>
      <c r="G2">
        <v>1</v>
      </c>
      <c r="H2">
        <v>2</v>
      </c>
      <c r="I2">
        <v>3</v>
      </c>
      <c r="J2">
        <v>4</v>
      </c>
    </row>
    <row r="3" spans="1:12" x14ac:dyDescent="0.25">
      <c r="A3" t="s">
        <v>12</v>
      </c>
      <c r="B3">
        <v>2984252</v>
      </c>
      <c r="C3">
        <v>2615811</v>
      </c>
      <c r="D3">
        <v>2960882</v>
      </c>
      <c r="E3">
        <v>2728510</v>
      </c>
      <c r="G3">
        <v>1423381</v>
      </c>
      <c r="H3">
        <v>1459109</v>
      </c>
      <c r="I3">
        <v>1833969</v>
      </c>
      <c r="J3">
        <v>1416256</v>
      </c>
    </row>
    <row r="4" spans="1:12" x14ac:dyDescent="0.25">
      <c r="A4" t="s">
        <v>158</v>
      </c>
      <c r="B4">
        <v>132809</v>
      </c>
      <c r="C4">
        <v>98789</v>
      </c>
      <c r="D4">
        <v>114965</v>
      </c>
      <c r="E4">
        <v>173631</v>
      </c>
      <c r="G4">
        <v>324894</v>
      </c>
      <c r="H4">
        <v>401505</v>
      </c>
      <c r="I4">
        <v>369996</v>
      </c>
      <c r="J4">
        <v>395782</v>
      </c>
    </row>
    <row r="5" spans="1:12" x14ac:dyDescent="0.25">
      <c r="B5">
        <f>SUM(B3:B4)</f>
        <v>3117061</v>
      </c>
      <c r="C5">
        <f t="shared" ref="C5:E5" si="0">SUM(C3:C4)</f>
        <v>2714600</v>
      </c>
      <c r="D5">
        <f t="shared" si="0"/>
        <v>3075847</v>
      </c>
      <c r="E5">
        <f t="shared" si="0"/>
        <v>2902141</v>
      </c>
      <c r="G5">
        <f>SUM(G3:G4)</f>
        <v>1748275</v>
      </c>
      <c r="H5">
        <f t="shared" ref="H5:J5" si="1">SUM(H3:H4)</f>
        <v>1860614</v>
      </c>
      <c r="I5">
        <f t="shared" si="1"/>
        <v>2203965</v>
      </c>
      <c r="J5">
        <f t="shared" si="1"/>
        <v>1812038</v>
      </c>
    </row>
    <row r="7" spans="1:12" x14ac:dyDescent="0.25">
      <c r="A7" t="s">
        <v>159</v>
      </c>
      <c r="B7">
        <f>B5/G5</f>
        <v>1.7829351789621197</v>
      </c>
    </row>
    <row r="8" spans="1:12" x14ac:dyDescent="0.25">
      <c r="A8" t="s">
        <v>160</v>
      </c>
      <c r="B8">
        <f>C5/H5</f>
        <v>1.4589807450658761</v>
      </c>
    </row>
    <row r="9" spans="1:12" x14ac:dyDescent="0.25">
      <c r="A9" t="s">
        <v>161</v>
      </c>
      <c r="B9">
        <f>D5/I5</f>
        <v>1.395597026268566</v>
      </c>
    </row>
    <row r="10" spans="1:12" x14ac:dyDescent="0.25">
      <c r="A10" t="s">
        <v>162</v>
      </c>
      <c r="B10">
        <f>E5/J5</f>
        <v>1.6015894810152989</v>
      </c>
    </row>
    <row r="12" spans="1:12" x14ac:dyDescent="0.25">
      <c r="A12" t="s">
        <v>163</v>
      </c>
      <c r="B12" t="s">
        <v>12</v>
      </c>
      <c r="C12">
        <v>2</v>
      </c>
      <c r="D12" t="s">
        <v>164</v>
      </c>
      <c r="E12">
        <v>2.71</v>
      </c>
      <c r="F12" s="60">
        <v>7.5500000000000003E-4</v>
      </c>
      <c r="G12">
        <v>37.130000000000003</v>
      </c>
      <c r="H12">
        <v>36.4</v>
      </c>
      <c r="I12">
        <v>37.42</v>
      </c>
      <c r="J12">
        <v>37.130000000000003</v>
      </c>
      <c r="K12">
        <v>36.4</v>
      </c>
      <c r="L12">
        <v>37.42</v>
      </c>
    </row>
    <row r="13" spans="1:12" x14ac:dyDescent="0.25">
      <c r="A13" t="s">
        <v>163</v>
      </c>
      <c r="B13" t="s">
        <v>12</v>
      </c>
      <c r="C13">
        <v>2</v>
      </c>
      <c r="D13" t="s">
        <v>164</v>
      </c>
      <c r="E13">
        <v>2.71</v>
      </c>
      <c r="F13" s="60">
        <v>7.5500000000000003E-4</v>
      </c>
      <c r="G13">
        <v>37.15</v>
      </c>
      <c r="H13">
        <v>36.4</v>
      </c>
      <c r="I13">
        <v>37.42</v>
      </c>
      <c r="J13">
        <v>37.15</v>
      </c>
      <c r="K13">
        <v>36.4</v>
      </c>
      <c r="L13">
        <v>37.42</v>
      </c>
    </row>
    <row r="14" spans="1:12" x14ac:dyDescent="0.25">
      <c r="A14" t="s">
        <v>165</v>
      </c>
      <c r="B14" t="s">
        <v>12</v>
      </c>
      <c r="C14">
        <v>2</v>
      </c>
      <c r="D14" t="s">
        <v>164</v>
      </c>
      <c r="E14">
        <v>3.27</v>
      </c>
      <c r="F14" s="60">
        <v>1.7899999999999999E-4</v>
      </c>
      <c r="G14">
        <v>37.32</v>
      </c>
      <c r="H14">
        <v>36.729999999999997</v>
      </c>
      <c r="I14">
        <v>37.72</v>
      </c>
      <c r="J14">
        <v>37.32</v>
      </c>
      <c r="K14">
        <v>36.76</v>
      </c>
      <c r="L14">
        <v>37.53</v>
      </c>
    </row>
    <row r="15" spans="1:12" x14ac:dyDescent="0.25">
      <c r="A15" t="s">
        <v>165</v>
      </c>
      <c r="B15" t="s">
        <v>12</v>
      </c>
      <c r="C15">
        <v>2</v>
      </c>
      <c r="D15" t="s">
        <v>164</v>
      </c>
      <c r="E15">
        <v>3.27</v>
      </c>
      <c r="F15" s="60">
        <v>1.7899999999999999E-4</v>
      </c>
      <c r="G15">
        <v>37.299999999999997</v>
      </c>
      <c r="H15">
        <v>36.729999999999997</v>
      </c>
      <c r="I15">
        <v>37.72</v>
      </c>
      <c r="J15">
        <v>37.299999999999997</v>
      </c>
      <c r="K15">
        <v>36.76</v>
      </c>
      <c r="L15">
        <v>37.53</v>
      </c>
    </row>
    <row r="16" spans="1:12" x14ac:dyDescent="0.25">
      <c r="A16" t="s">
        <v>166</v>
      </c>
      <c r="B16" t="s">
        <v>12</v>
      </c>
      <c r="C16">
        <v>2</v>
      </c>
      <c r="D16" t="s">
        <v>164</v>
      </c>
      <c r="E16">
        <v>4.01</v>
      </c>
      <c r="F16" s="60">
        <v>2.3300000000000001E-5</v>
      </c>
      <c r="G16">
        <v>37.520000000000003</v>
      </c>
      <c r="H16">
        <v>36.96</v>
      </c>
      <c r="I16">
        <v>37.72</v>
      </c>
      <c r="J16">
        <v>37.520000000000003</v>
      </c>
      <c r="K16">
        <v>36.96</v>
      </c>
      <c r="L16">
        <v>37.9</v>
      </c>
    </row>
    <row r="17" spans="1:12" x14ac:dyDescent="0.25">
      <c r="A17" t="s">
        <v>166</v>
      </c>
      <c r="B17" t="s">
        <v>12</v>
      </c>
      <c r="C17">
        <v>2</v>
      </c>
      <c r="D17" t="s">
        <v>164</v>
      </c>
      <c r="E17">
        <v>4.01</v>
      </c>
      <c r="F17" s="60">
        <v>2.3300000000000001E-5</v>
      </c>
      <c r="G17">
        <v>37.53</v>
      </c>
      <c r="H17">
        <v>36.96</v>
      </c>
      <c r="I17">
        <v>37.72</v>
      </c>
      <c r="J17">
        <v>37.53</v>
      </c>
      <c r="K17">
        <v>36.96</v>
      </c>
      <c r="L17">
        <v>37.9</v>
      </c>
    </row>
    <row r="18" spans="1:12" x14ac:dyDescent="0.25">
      <c r="A18" t="s">
        <v>167</v>
      </c>
      <c r="B18" t="s">
        <v>12</v>
      </c>
      <c r="C18">
        <v>2</v>
      </c>
      <c r="D18" t="s">
        <v>164</v>
      </c>
      <c r="E18">
        <v>2.75</v>
      </c>
      <c r="F18" s="60">
        <v>7.0500000000000001E-4</v>
      </c>
      <c r="G18">
        <v>37.32</v>
      </c>
      <c r="H18">
        <v>36.630000000000003</v>
      </c>
      <c r="I18">
        <v>37.729999999999997</v>
      </c>
      <c r="J18">
        <v>37.32</v>
      </c>
      <c r="K18">
        <v>36.630000000000003</v>
      </c>
      <c r="L18">
        <v>37.58</v>
      </c>
    </row>
    <row r="19" spans="1:12" x14ac:dyDescent="0.25">
      <c r="A19" t="s">
        <v>167</v>
      </c>
      <c r="B19" t="s">
        <v>12</v>
      </c>
      <c r="C19">
        <v>2</v>
      </c>
      <c r="D19" t="s">
        <v>164</v>
      </c>
      <c r="E19">
        <v>2.75</v>
      </c>
      <c r="F19" s="60">
        <v>7.0500000000000001E-4</v>
      </c>
      <c r="G19">
        <v>37.32</v>
      </c>
      <c r="H19">
        <v>36.630000000000003</v>
      </c>
      <c r="I19">
        <v>37.729999999999997</v>
      </c>
      <c r="J19">
        <v>37.32</v>
      </c>
      <c r="K19">
        <v>36.630000000000003</v>
      </c>
      <c r="L19">
        <v>37.58</v>
      </c>
    </row>
    <row r="20" spans="1:12" x14ac:dyDescent="0.25">
      <c r="A20" t="s">
        <v>168</v>
      </c>
      <c r="B20" t="s">
        <v>12</v>
      </c>
      <c r="C20">
        <v>2</v>
      </c>
      <c r="D20" t="s">
        <v>164</v>
      </c>
      <c r="E20">
        <v>3.46</v>
      </c>
      <c r="F20" s="60">
        <v>1.05E-4</v>
      </c>
      <c r="G20">
        <v>37.1</v>
      </c>
      <c r="H20">
        <v>36.450000000000003</v>
      </c>
      <c r="I20">
        <v>37.33</v>
      </c>
      <c r="J20">
        <v>37.1</v>
      </c>
      <c r="K20">
        <v>36.450000000000003</v>
      </c>
      <c r="L20">
        <v>37.33</v>
      </c>
    </row>
    <row r="21" spans="1:12" x14ac:dyDescent="0.25">
      <c r="A21" t="s">
        <v>168</v>
      </c>
      <c r="B21" t="s">
        <v>12</v>
      </c>
      <c r="C21">
        <v>2</v>
      </c>
      <c r="D21" t="s">
        <v>164</v>
      </c>
      <c r="E21">
        <v>3.46</v>
      </c>
      <c r="F21" s="60">
        <v>1.05E-4</v>
      </c>
      <c r="G21">
        <v>37.08</v>
      </c>
      <c r="H21">
        <v>36.450000000000003</v>
      </c>
      <c r="I21">
        <v>37.33</v>
      </c>
      <c r="J21">
        <v>37.08</v>
      </c>
      <c r="K21">
        <v>36.450000000000003</v>
      </c>
      <c r="L21">
        <v>37.33</v>
      </c>
    </row>
    <row r="22" spans="1:12" x14ac:dyDescent="0.25">
      <c r="A22" t="s">
        <v>169</v>
      </c>
      <c r="B22" t="s">
        <v>12</v>
      </c>
      <c r="C22">
        <v>2</v>
      </c>
      <c r="D22" t="s">
        <v>164</v>
      </c>
      <c r="E22">
        <v>4.08</v>
      </c>
      <c r="F22" s="60">
        <v>1.88E-5</v>
      </c>
      <c r="G22">
        <v>37.25</v>
      </c>
      <c r="H22">
        <v>36.71</v>
      </c>
      <c r="I22">
        <v>37.630000000000003</v>
      </c>
      <c r="J22">
        <v>37.25</v>
      </c>
      <c r="K22">
        <v>36.71</v>
      </c>
      <c r="L22">
        <v>37.65</v>
      </c>
    </row>
    <row r="23" spans="1:12" x14ac:dyDescent="0.25">
      <c r="A23" t="s">
        <v>169</v>
      </c>
      <c r="B23" t="s">
        <v>12</v>
      </c>
      <c r="C23">
        <v>2</v>
      </c>
      <c r="D23" t="s">
        <v>164</v>
      </c>
      <c r="E23">
        <v>4.08</v>
      </c>
      <c r="F23" s="60">
        <v>1.88E-5</v>
      </c>
      <c r="G23">
        <v>37.25</v>
      </c>
      <c r="H23">
        <v>36.71</v>
      </c>
      <c r="I23">
        <v>37.630000000000003</v>
      </c>
      <c r="J23">
        <v>37.25</v>
      </c>
      <c r="K23">
        <v>36.71</v>
      </c>
      <c r="L23">
        <v>37.65</v>
      </c>
    </row>
    <row r="24" spans="1:12" x14ac:dyDescent="0.25">
      <c r="A24" t="s">
        <v>170</v>
      </c>
      <c r="B24" t="s">
        <v>12</v>
      </c>
      <c r="C24">
        <v>2</v>
      </c>
      <c r="D24" t="s">
        <v>164</v>
      </c>
      <c r="E24">
        <v>2.3199999999999998</v>
      </c>
      <c r="F24" s="60">
        <v>1.8E-3</v>
      </c>
      <c r="G24">
        <v>37.6</v>
      </c>
      <c r="H24">
        <v>36.93</v>
      </c>
      <c r="I24">
        <v>37.83</v>
      </c>
      <c r="J24">
        <v>37.6</v>
      </c>
      <c r="K24">
        <v>36.93</v>
      </c>
      <c r="L24">
        <v>37.9</v>
      </c>
    </row>
    <row r="25" spans="1:12" x14ac:dyDescent="0.25">
      <c r="A25" t="s">
        <v>170</v>
      </c>
      <c r="B25" t="s">
        <v>12</v>
      </c>
      <c r="C25">
        <v>2</v>
      </c>
      <c r="D25" t="s">
        <v>164</v>
      </c>
      <c r="E25">
        <v>2.3199999999999998</v>
      </c>
      <c r="F25" s="60">
        <v>1.8E-3</v>
      </c>
      <c r="G25">
        <v>37.58</v>
      </c>
      <c r="H25">
        <v>36.93</v>
      </c>
      <c r="I25">
        <v>37.83</v>
      </c>
      <c r="J25">
        <v>37.58</v>
      </c>
      <c r="K25">
        <v>36.93</v>
      </c>
      <c r="L25">
        <v>37.9</v>
      </c>
    </row>
    <row r="26" spans="1:12" x14ac:dyDescent="0.25">
      <c r="A26" t="s">
        <v>171</v>
      </c>
      <c r="B26" t="s">
        <v>12</v>
      </c>
      <c r="C26">
        <v>2</v>
      </c>
      <c r="D26" t="s">
        <v>164</v>
      </c>
      <c r="E26">
        <v>3.36</v>
      </c>
      <c r="F26" s="60">
        <v>1.37E-4</v>
      </c>
      <c r="G26">
        <v>37.479999999999997</v>
      </c>
      <c r="H26">
        <v>36.799999999999997</v>
      </c>
      <c r="I26">
        <v>37.869999999999997</v>
      </c>
      <c r="J26">
        <v>37.479999999999997</v>
      </c>
      <c r="K26">
        <v>36.799999999999997</v>
      </c>
      <c r="L26">
        <v>37.68</v>
      </c>
    </row>
    <row r="27" spans="1:12" x14ac:dyDescent="0.25">
      <c r="A27" t="s">
        <v>171</v>
      </c>
      <c r="B27" t="s">
        <v>12</v>
      </c>
      <c r="C27">
        <v>2</v>
      </c>
      <c r="D27" t="s">
        <v>164</v>
      </c>
      <c r="E27">
        <v>3.36</v>
      </c>
      <c r="F27" s="60">
        <v>1.37E-4</v>
      </c>
      <c r="G27">
        <v>37.43</v>
      </c>
      <c r="H27">
        <v>36.799999999999997</v>
      </c>
      <c r="I27">
        <v>37.869999999999997</v>
      </c>
      <c r="J27">
        <v>37.43</v>
      </c>
      <c r="K27">
        <v>36.799999999999997</v>
      </c>
      <c r="L27">
        <v>37.68</v>
      </c>
    </row>
    <row r="28" spans="1:12" x14ac:dyDescent="0.25">
      <c r="A28" t="s">
        <v>172</v>
      </c>
      <c r="B28" t="s">
        <v>12</v>
      </c>
      <c r="C28">
        <v>2</v>
      </c>
      <c r="D28" t="s">
        <v>164</v>
      </c>
      <c r="E28">
        <v>4</v>
      </c>
      <c r="F28" s="60">
        <v>2.44E-5</v>
      </c>
      <c r="G28">
        <v>37.380000000000003</v>
      </c>
      <c r="H28">
        <v>36.83</v>
      </c>
      <c r="I28">
        <v>37.57</v>
      </c>
      <c r="J28">
        <v>37.380000000000003</v>
      </c>
      <c r="K28">
        <v>36.83</v>
      </c>
      <c r="L28">
        <v>37.729999999999997</v>
      </c>
    </row>
    <row r="29" spans="1:12" x14ac:dyDescent="0.25">
      <c r="A29" t="s">
        <v>172</v>
      </c>
      <c r="B29" t="s">
        <v>12</v>
      </c>
      <c r="C29">
        <v>2</v>
      </c>
      <c r="D29" t="s">
        <v>164</v>
      </c>
      <c r="E29">
        <v>4</v>
      </c>
      <c r="F29" s="60">
        <v>2.44E-5</v>
      </c>
      <c r="G29">
        <v>37.380000000000003</v>
      </c>
      <c r="H29">
        <v>36.83</v>
      </c>
      <c r="I29">
        <v>37.57</v>
      </c>
      <c r="J29">
        <v>37.380000000000003</v>
      </c>
      <c r="K29">
        <v>36.83</v>
      </c>
      <c r="L29">
        <v>37.729999999999997</v>
      </c>
    </row>
    <row r="30" spans="1:12" x14ac:dyDescent="0.25">
      <c r="A30" t="s">
        <v>173</v>
      </c>
      <c r="B30" t="s">
        <v>12</v>
      </c>
      <c r="C30">
        <v>2</v>
      </c>
      <c r="D30" t="s">
        <v>174</v>
      </c>
      <c r="E30">
        <v>2.33</v>
      </c>
      <c r="F30" s="60">
        <v>1.7700000000000001E-3</v>
      </c>
      <c r="G30">
        <v>35.85</v>
      </c>
      <c r="H30">
        <v>35.71</v>
      </c>
      <c r="I30">
        <v>36.01</v>
      </c>
      <c r="J30">
        <v>37.28</v>
      </c>
      <c r="K30">
        <v>36.56</v>
      </c>
      <c r="L30">
        <v>37.549999999999997</v>
      </c>
    </row>
    <row r="31" spans="1:12" x14ac:dyDescent="0.25">
      <c r="A31" t="s">
        <v>173</v>
      </c>
      <c r="B31" t="s">
        <v>12</v>
      </c>
      <c r="C31">
        <v>2</v>
      </c>
      <c r="D31" t="s">
        <v>174</v>
      </c>
      <c r="E31">
        <v>2.33</v>
      </c>
      <c r="F31" s="60">
        <v>1.7700000000000001E-3</v>
      </c>
      <c r="G31">
        <v>35.85</v>
      </c>
      <c r="H31">
        <v>35.71</v>
      </c>
      <c r="I31">
        <v>36.01</v>
      </c>
      <c r="J31">
        <v>37.299999999999997</v>
      </c>
      <c r="K31">
        <v>36.56</v>
      </c>
      <c r="L31">
        <v>37.549999999999997</v>
      </c>
    </row>
    <row r="32" spans="1:12" x14ac:dyDescent="0.25">
      <c r="A32" t="s">
        <v>175</v>
      </c>
      <c r="B32" t="s">
        <v>12</v>
      </c>
      <c r="C32">
        <v>2</v>
      </c>
      <c r="D32" t="s">
        <v>164</v>
      </c>
      <c r="E32">
        <v>3.2</v>
      </c>
      <c r="F32" s="60">
        <v>2.0599999999999999E-4</v>
      </c>
      <c r="G32">
        <v>37.33</v>
      </c>
      <c r="H32">
        <v>36.65</v>
      </c>
      <c r="I32">
        <v>37.950000000000003</v>
      </c>
      <c r="J32">
        <v>37.33</v>
      </c>
      <c r="K32">
        <v>36.65</v>
      </c>
      <c r="L32">
        <v>37.58</v>
      </c>
    </row>
    <row r="33" spans="1:12" x14ac:dyDescent="0.25">
      <c r="A33" t="s">
        <v>175</v>
      </c>
      <c r="B33" t="s">
        <v>12</v>
      </c>
      <c r="C33">
        <v>2</v>
      </c>
      <c r="D33" t="s">
        <v>164</v>
      </c>
      <c r="E33">
        <v>3.2</v>
      </c>
      <c r="F33" s="60">
        <v>2.0599999999999999E-4</v>
      </c>
      <c r="G33">
        <v>37.35</v>
      </c>
      <c r="H33">
        <v>36.65</v>
      </c>
      <c r="I33">
        <v>37.950000000000003</v>
      </c>
      <c r="J33">
        <v>37.35</v>
      </c>
      <c r="K33">
        <v>36.65</v>
      </c>
      <c r="L33">
        <v>37.58</v>
      </c>
    </row>
    <row r="34" spans="1:12" x14ac:dyDescent="0.25">
      <c r="A34" t="s">
        <v>176</v>
      </c>
      <c r="B34" t="s">
        <v>12</v>
      </c>
      <c r="C34">
        <v>2</v>
      </c>
      <c r="D34" t="s">
        <v>164</v>
      </c>
      <c r="E34">
        <v>3.8</v>
      </c>
      <c r="F34" s="60">
        <v>3.9700000000000003E-5</v>
      </c>
      <c r="G34">
        <v>37.68</v>
      </c>
      <c r="H34">
        <v>37.15</v>
      </c>
      <c r="I34">
        <v>38.03</v>
      </c>
      <c r="J34">
        <v>37.68</v>
      </c>
      <c r="K34">
        <v>37.15</v>
      </c>
      <c r="L34">
        <v>38.03</v>
      </c>
    </row>
    <row r="35" spans="1:12" x14ac:dyDescent="0.25">
      <c r="A35" t="s">
        <v>176</v>
      </c>
      <c r="B35" t="s">
        <v>12</v>
      </c>
      <c r="C35">
        <v>2</v>
      </c>
      <c r="D35" t="s">
        <v>164</v>
      </c>
      <c r="E35">
        <v>3.8</v>
      </c>
      <c r="F35" s="60">
        <v>3.9700000000000003E-5</v>
      </c>
      <c r="G35">
        <v>37.67</v>
      </c>
      <c r="H35">
        <v>37.15</v>
      </c>
      <c r="I35">
        <v>38.03</v>
      </c>
      <c r="J35">
        <v>37.67</v>
      </c>
      <c r="K35">
        <v>37.15</v>
      </c>
      <c r="L35">
        <v>38.03</v>
      </c>
    </row>
    <row r="36" spans="1:12" x14ac:dyDescent="0.25">
      <c r="A36" t="s">
        <v>177</v>
      </c>
      <c r="B36" t="s">
        <v>158</v>
      </c>
      <c r="C36">
        <v>3</v>
      </c>
      <c r="D36" t="s">
        <v>174</v>
      </c>
      <c r="E36">
        <v>0.37</v>
      </c>
      <c r="F36" s="60">
        <v>4.9099999999999998E-2</v>
      </c>
      <c r="G36">
        <v>34.35</v>
      </c>
      <c r="H36">
        <v>34.31</v>
      </c>
      <c r="I36">
        <v>34.42</v>
      </c>
      <c r="J36">
        <v>34.729999999999997</v>
      </c>
      <c r="K36">
        <v>34.630000000000003</v>
      </c>
      <c r="L36">
        <v>35.51</v>
      </c>
    </row>
    <row r="37" spans="1:12" x14ac:dyDescent="0.25">
      <c r="A37" t="s">
        <v>177</v>
      </c>
      <c r="B37" t="s">
        <v>158</v>
      </c>
      <c r="C37">
        <v>3</v>
      </c>
      <c r="D37" t="s">
        <v>174</v>
      </c>
      <c r="E37">
        <v>0.37</v>
      </c>
      <c r="F37" s="60">
        <v>4.9099999999999998E-2</v>
      </c>
      <c r="G37">
        <v>34.39</v>
      </c>
      <c r="H37">
        <v>34.31</v>
      </c>
      <c r="I37">
        <v>34.42</v>
      </c>
      <c r="J37">
        <v>35.43</v>
      </c>
      <c r="K37">
        <v>34.630000000000003</v>
      </c>
      <c r="L37">
        <v>35.51</v>
      </c>
    </row>
    <row r="38" spans="1:12" x14ac:dyDescent="0.25">
      <c r="A38" t="s">
        <v>178</v>
      </c>
      <c r="B38" t="s">
        <v>158</v>
      </c>
      <c r="C38">
        <v>3</v>
      </c>
      <c r="D38" t="s">
        <v>174</v>
      </c>
      <c r="E38">
        <v>-0.7</v>
      </c>
      <c r="F38" s="60">
        <v>9.8000000000000004E-2</v>
      </c>
      <c r="G38">
        <v>33.36</v>
      </c>
      <c r="H38">
        <v>33.28</v>
      </c>
      <c r="I38">
        <v>33.42</v>
      </c>
      <c r="J38">
        <v>35.299999999999997</v>
      </c>
      <c r="K38">
        <v>34.4</v>
      </c>
      <c r="L38">
        <v>35.380000000000003</v>
      </c>
    </row>
    <row r="39" spans="1:12" x14ac:dyDescent="0.25">
      <c r="A39" t="s">
        <v>178</v>
      </c>
      <c r="B39" t="s">
        <v>158</v>
      </c>
      <c r="C39">
        <v>3</v>
      </c>
      <c r="D39" t="s">
        <v>174</v>
      </c>
      <c r="E39">
        <v>-0.7</v>
      </c>
      <c r="F39" s="60">
        <v>9.8000000000000004E-2</v>
      </c>
      <c r="G39">
        <v>33.340000000000003</v>
      </c>
      <c r="H39">
        <v>33.28</v>
      </c>
      <c r="I39">
        <v>33.42</v>
      </c>
      <c r="J39">
        <v>35.29</v>
      </c>
      <c r="K39">
        <v>34.4</v>
      </c>
      <c r="L39">
        <v>35.380000000000003</v>
      </c>
    </row>
    <row r="40" spans="1:12" x14ac:dyDescent="0.25">
      <c r="A40" t="s">
        <v>179</v>
      </c>
      <c r="B40" t="s">
        <v>158</v>
      </c>
      <c r="C40">
        <v>3</v>
      </c>
      <c r="D40" t="s">
        <v>174</v>
      </c>
      <c r="E40">
        <v>0.49</v>
      </c>
      <c r="F40" s="60">
        <v>4.3900000000000002E-2</v>
      </c>
      <c r="G40">
        <v>33.049999999999997</v>
      </c>
      <c r="H40">
        <v>33.020000000000003</v>
      </c>
      <c r="I40">
        <v>33.159999999999997</v>
      </c>
      <c r="J40">
        <v>35.15</v>
      </c>
      <c r="K40">
        <v>34.81</v>
      </c>
      <c r="L40">
        <v>35.380000000000003</v>
      </c>
    </row>
    <row r="41" spans="1:12" x14ac:dyDescent="0.25">
      <c r="A41" t="s">
        <v>179</v>
      </c>
      <c r="B41" t="s">
        <v>158</v>
      </c>
      <c r="C41">
        <v>3</v>
      </c>
      <c r="D41" t="s">
        <v>174</v>
      </c>
      <c r="E41">
        <v>0.49</v>
      </c>
      <c r="F41" s="60">
        <v>4.3900000000000002E-2</v>
      </c>
      <c r="G41">
        <v>33.08</v>
      </c>
      <c r="H41">
        <v>33.020000000000003</v>
      </c>
      <c r="I41">
        <v>33.159999999999997</v>
      </c>
      <c r="J41">
        <v>35.06</v>
      </c>
      <c r="K41">
        <v>34.81</v>
      </c>
      <c r="L41">
        <v>35.380000000000003</v>
      </c>
    </row>
    <row r="42" spans="1:12" x14ac:dyDescent="0.25">
      <c r="A42" t="s">
        <v>180</v>
      </c>
      <c r="B42" t="s">
        <v>158</v>
      </c>
      <c r="C42">
        <v>3</v>
      </c>
      <c r="D42" t="s">
        <v>174</v>
      </c>
      <c r="E42">
        <v>-0.13</v>
      </c>
      <c r="F42" s="60">
        <v>7.3899999999999993E-2</v>
      </c>
      <c r="G42">
        <v>33.26</v>
      </c>
      <c r="H42">
        <v>33.21</v>
      </c>
      <c r="I42">
        <v>33.31</v>
      </c>
      <c r="J42">
        <v>34.65</v>
      </c>
      <c r="K42">
        <v>34.450000000000003</v>
      </c>
      <c r="L42">
        <v>35.35</v>
      </c>
    </row>
    <row r="43" spans="1:12" x14ac:dyDescent="0.25">
      <c r="A43" t="s">
        <v>180</v>
      </c>
      <c r="B43" t="s">
        <v>158</v>
      </c>
      <c r="C43">
        <v>3</v>
      </c>
      <c r="D43" t="s">
        <v>174</v>
      </c>
      <c r="E43">
        <v>-0.13</v>
      </c>
      <c r="F43" s="60">
        <v>7.3899999999999993E-2</v>
      </c>
      <c r="G43">
        <v>33.29</v>
      </c>
      <c r="H43">
        <v>33.21</v>
      </c>
      <c r="I43">
        <v>33.31</v>
      </c>
      <c r="J43">
        <v>34.71</v>
      </c>
      <c r="K43">
        <v>34.450000000000003</v>
      </c>
      <c r="L43">
        <v>35.35</v>
      </c>
    </row>
    <row r="44" spans="1:12" x14ac:dyDescent="0.25">
      <c r="A44" t="s">
        <v>181</v>
      </c>
      <c r="B44" t="s">
        <v>158</v>
      </c>
      <c r="C44">
        <v>3</v>
      </c>
      <c r="D44" t="s">
        <v>164</v>
      </c>
      <c r="E44">
        <v>0.63</v>
      </c>
      <c r="F44" s="60">
        <v>3.7699999999999997E-2</v>
      </c>
      <c r="G44">
        <v>34.450000000000003</v>
      </c>
      <c r="H44">
        <v>34.21</v>
      </c>
      <c r="I44">
        <v>34.71</v>
      </c>
      <c r="J44">
        <v>34.450000000000003</v>
      </c>
      <c r="K44">
        <v>34.21</v>
      </c>
      <c r="L44">
        <v>34.71</v>
      </c>
    </row>
    <row r="45" spans="1:12" x14ac:dyDescent="0.25">
      <c r="A45" t="s">
        <v>181</v>
      </c>
      <c r="B45" t="s">
        <v>158</v>
      </c>
      <c r="C45">
        <v>3</v>
      </c>
      <c r="D45" t="s">
        <v>164</v>
      </c>
      <c r="E45">
        <v>0.63</v>
      </c>
      <c r="F45" s="60">
        <v>3.7699999999999997E-2</v>
      </c>
      <c r="G45">
        <v>34.549999999999997</v>
      </c>
      <c r="H45">
        <v>34.21</v>
      </c>
      <c r="I45">
        <v>34.71</v>
      </c>
      <c r="J45">
        <v>34.549999999999997</v>
      </c>
      <c r="K45">
        <v>34.21</v>
      </c>
      <c r="L45">
        <v>34.71</v>
      </c>
    </row>
    <row r="46" spans="1:12" x14ac:dyDescent="0.25">
      <c r="A46" t="s">
        <v>182</v>
      </c>
      <c r="B46" t="s">
        <v>158</v>
      </c>
      <c r="C46">
        <v>3</v>
      </c>
      <c r="D46" t="s">
        <v>164</v>
      </c>
      <c r="E46">
        <v>2.36</v>
      </c>
      <c r="F46" s="60">
        <v>1.6900000000000001E-3</v>
      </c>
      <c r="G46">
        <v>34.31</v>
      </c>
      <c r="H46">
        <v>33.909999999999997</v>
      </c>
      <c r="I46">
        <v>34.39</v>
      </c>
      <c r="J46">
        <v>34.65</v>
      </c>
      <c r="K46">
        <v>34.18</v>
      </c>
      <c r="L46">
        <v>34.83</v>
      </c>
    </row>
    <row r="47" spans="1:12" x14ac:dyDescent="0.25">
      <c r="A47" t="s">
        <v>182</v>
      </c>
      <c r="B47" t="s">
        <v>158</v>
      </c>
      <c r="C47">
        <v>3</v>
      </c>
      <c r="D47" t="s">
        <v>174</v>
      </c>
      <c r="E47">
        <v>2.36</v>
      </c>
      <c r="F47" s="60">
        <v>1.6900000000000001E-3</v>
      </c>
      <c r="G47">
        <v>34.03</v>
      </c>
      <c r="H47">
        <v>33.909999999999997</v>
      </c>
      <c r="I47">
        <v>34.39</v>
      </c>
      <c r="J47">
        <v>34.71</v>
      </c>
      <c r="K47">
        <v>34.18</v>
      </c>
      <c r="L47">
        <v>34.83</v>
      </c>
    </row>
    <row r="48" spans="1:12" x14ac:dyDescent="0.25">
      <c r="A48" t="s">
        <v>183</v>
      </c>
      <c r="B48" t="s">
        <v>158</v>
      </c>
      <c r="C48">
        <v>3</v>
      </c>
      <c r="D48" t="s">
        <v>174</v>
      </c>
      <c r="E48">
        <v>0.09</v>
      </c>
      <c r="F48" s="60">
        <v>6.25E-2</v>
      </c>
      <c r="G48">
        <v>36.67</v>
      </c>
      <c r="H48">
        <v>36.53</v>
      </c>
      <c r="I48">
        <v>36.979999999999997</v>
      </c>
      <c r="J48">
        <v>34.99</v>
      </c>
      <c r="K48">
        <v>34.57</v>
      </c>
      <c r="L48">
        <v>35.43</v>
      </c>
    </row>
    <row r="49" spans="1:12" x14ac:dyDescent="0.25">
      <c r="A49" t="s">
        <v>183</v>
      </c>
      <c r="B49" t="s">
        <v>158</v>
      </c>
      <c r="C49">
        <v>3</v>
      </c>
      <c r="D49" t="s">
        <v>174</v>
      </c>
      <c r="E49">
        <v>0.09</v>
      </c>
      <c r="F49" s="60">
        <v>6.25E-2</v>
      </c>
      <c r="G49">
        <v>36.869999999999997</v>
      </c>
      <c r="H49">
        <v>36.53</v>
      </c>
      <c r="I49">
        <v>36.979999999999997</v>
      </c>
      <c r="J49">
        <v>34.57</v>
      </c>
      <c r="K49">
        <v>34.57</v>
      </c>
      <c r="L49">
        <v>35.43</v>
      </c>
    </row>
    <row r="50" spans="1:12" x14ac:dyDescent="0.25">
      <c r="A50" t="s">
        <v>184</v>
      </c>
      <c r="B50" t="s">
        <v>158</v>
      </c>
      <c r="C50">
        <v>3</v>
      </c>
      <c r="D50" t="s">
        <v>174</v>
      </c>
      <c r="E50">
        <v>1.46</v>
      </c>
      <c r="F50" s="60">
        <v>1.0999999999999999E-2</v>
      </c>
      <c r="G50">
        <v>34.86</v>
      </c>
      <c r="H50">
        <v>34.86</v>
      </c>
      <c r="I50">
        <v>35.19</v>
      </c>
      <c r="J50">
        <v>34.42</v>
      </c>
      <c r="K50">
        <v>34.24</v>
      </c>
      <c r="L50">
        <v>34.630000000000003</v>
      </c>
    </row>
    <row r="51" spans="1:12" x14ac:dyDescent="0.25">
      <c r="A51" t="s">
        <v>184</v>
      </c>
      <c r="B51" t="s">
        <v>158</v>
      </c>
      <c r="C51">
        <v>3</v>
      </c>
      <c r="D51" t="s">
        <v>174</v>
      </c>
      <c r="E51">
        <v>1.46</v>
      </c>
      <c r="F51" s="60">
        <v>1.0999999999999999E-2</v>
      </c>
      <c r="G51">
        <v>35.07</v>
      </c>
      <c r="H51">
        <v>34.86</v>
      </c>
      <c r="I51">
        <v>35.19</v>
      </c>
      <c r="J51">
        <v>34.549999999999997</v>
      </c>
      <c r="K51">
        <v>34.24</v>
      </c>
      <c r="L51">
        <v>34.630000000000003</v>
      </c>
    </row>
    <row r="52" spans="1:12" s="61" customFormat="1" x14ac:dyDescent="0.25">
      <c r="A52" s="61" t="s">
        <v>185</v>
      </c>
      <c r="B52" s="61" t="s">
        <v>158</v>
      </c>
      <c r="C52" s="61">
        <v>3</v>
      </c>
      <c r="D52" s="61" t="s">
        <v>164</v>
      </c>
      <c r="E52" s="61">
        <v>2.66</v>
      </c>
      <c r="F52" s="62">
        <v>8.3000000000000001E-4</v>
      </c>
      <c r="G52" s="61">
        <v>33.590000000000003</v>
      </c>
      <c r="H52" s="61">
        <v>33.47</v>
      </c>
      <c r="I52" s="61">
        <v>33.93</v>
      </c>
      <c r="J52" s="61">
        <v>33.64</v>
      </c>
      <c r="K52" s="61">
        <v>33.64</v>
      </c>
      <c r="L52" s="61">
        <v>34.35</v>
      </c>
    </row>
    <row r="53" spans="1:12" s="61" customFormat="1" x14ac:dyDescent="0.25">
      <c r="A53" s="61" t="s">
        <v>185</v>
      </c>
      <c r="B53" s="61" t="s">
        <v>158</v>
      </c>
      <c r="C53" s="61">
        <v>3</v>
      </c>
      <c r="D53" s="61" t="s">
        <v>164</v>
      </c>
      <c r="E53" s="61">
        <v>2.66</v>
      </c>
      <c r="F53" s="62">
        <v>8.3000000000000001E-4</v>
      </c>
      <c r="G53" s="61">
        <v>33.82</v>
      </c>
      <c r="H53" s="61">
        <v>33.47</v>
      </c>
      <c r="I53" s="61">
        <v>33.93</v>
      </c>
      <c r="J53" s="61">
        <v>34.19</v>
      </c>
      <c r="K53" s="61">
        <v>33.64</v>
      </c>
      <c r="L53" s="61">
        <v>34.35</v>
      </c>
    </row>
    <row r="54" spans="1:12" x14ac:dyDescent="0.25">
      <c r="A54" t="s">
        <v>186</v>
      </c>
      <c r="B54" t="s">
        <v>158</v>
      </c>
      <c r="C54">
        <v>3</v>
      </c>
      <c r="D54" t="s">
        <v>174</v>
      </c>
      <c r="E54">
        <v>1.07</v>
      </c>
      <c r="F54" s="60">
        <v>2.0799999999999999E-2</v>
      </c>
      <c r="G54">
        <v>36.35</v>
      </c>
      <c r="H54">
        <v>36.200000000000003</v>
      </c>
      <c r="I54">
        <v>36.46</v>
      </c>
      <c r="J54">
        <v>34.04</v>
      </c>
      <c r="K54">
        <v>34.03</v>
      </c>
      <c r="L54">
        <v>34.83</v>
      </c>
    </row>
    <row r="55" spans="1:12" x14ac:dyDescent="0.25">
      <c r="A55" t="s">
        <v>186</v>
      </c>
      <c r="B55" t="s">
        <v>158</v>
      </c>
      <c r="C55">
        <v>3</v>
      </c>
      <c r="D55" t="s">
        <v>174</v>
      </c>
      <c r="E55">
        <v>1.07</v>
      </c>
      <c r="F55" s="60">
        <v>2.0799999999999999E-2</v>
      </c>
      <c r="G55">
        <v>36.43</v>
      </c>
      <c r="H55">
        <v>36.200000000000003</v>
      </c>
      <c r="I55">
        <v>36.46</v>
      </c>
      <c r="J55">
        <v>34.630000000000003</v>
      </c>
      <c r="K55">
        <v>34.03</v>
      </c>
      <c r="L55">
        <v>34.83</v>
      </c>
    </row>
    <row r="56" spans="1:12" x14ac:dyDescent="0.25">
      <c r="A56" t="s">
        <v>187</v>
      </c>
      <c r="B56" t="s">
        <v>158</v>
      </c>
      <c r="C56">
        <v>3</v>
      </c>
      <c r="D56" t="s">
        <v>174</v>
      </c>
      <c r="E56">
        <v>1.35</v>
      </c>
      <c r="F56" s="60">
        <v>1.35E-2</v>
      </c>
      <c r="G56">
        <v>34.01</v>
      </c>
      <c r="H56">
        <v>33.869999999999997</v>
      </c>
      <c r="I56">
        <v>34.26</v>
      </c>
      <c r="J56">
        <v>34.76</v>
      </c>
      <c r="K56">
        <v>34.42</v>
      </c>
      <c r="L56">
        <v>34.85</v>
      </c>
    </row>
    <row r="57" spans="1:12" x14ac:dyDescent="0.25">
      <c r="A57" t="s">
        <v>187</v>
      </c>
      <c r="B57" t="s">
        <v>158</v>
      </c>
      <c r="C57">
        <v>3</v>
      </c>
      <c r="D57" t="s">
        <v>174</v>
      </c>
      <c r="E57">
        <v>1.35</v>
      </c>
      <c r="F57" s="60">
        <v>1.35E-2</v>
      </c>
      <c r="G57">
        <v>34.24</v>
      </c>
      <c r="H57">
        <v>33.869999999999997</v>
      </c>
      <c r="I57">
        <v>34.26</v>
      </c>
      <c r="J57">
        <v>34.58</v>
      </c>
      <c r="K57">
        <v>34.42</v>
      </c>
      <c r="L57">
        <v>34.85</v>
      </c>
    </row>
    <row r="58" spans="1:12" s="61" customFormat="1" x14ac:dyDescent="0.25">
      <c r="A58" s="61" t="s">
        <v>188</v>
      </c>
      <c r="B58" s="61" t="s">
        <v>158</v>
      </c>
      <c r="C58" s="61">
        <v>3</v>
      </c>
      <c r="D58" s="61" t="s">
        <v>164</v>
      </c>
      <c r="E58" s="61">
        <v>2.5099999999999998</v>
      </c>
      <c r="F58" s="62">
        <v>1.2199999999999999E-3</v>
      </c>
      <c r="G58" s="61">
        <v>34.04</v>
      </c>
      <c r="H58" s="61">
        <v>33.6</v>
      </c>
      <c r="I58" s="61">
        <v>34.06</v>
      </c>
      <c r="J58" s="61">
        <v>34.4</v>
      </c>
      <c r="K58" s="61">
        <v>33.880000000000003</v>
      </c>
      <c r="L58" s="61">
        <v>34.6</v>
      </c>
    </row>
    <row r="59" spans="1:12" s="61" customFormat="1" x14ac:dyDescent="0.25">
      <c r="A59" s="61" t="s">
        <v>188</v>
      </c>
      <c r="B59" s="61" t="s">
        <v>158</v>
      </c>
      <c r="C59" s="61">
        <v>3</v>
      </c>
      <c r="D59" s="61" t="s">
        <v>164</v>
      </c>
      <c r="E59" s="61">
        <v>2.5099999999999998</v>
      </c>
      <c r="F59" s="62">
        <v>1.2199999999999999E-3</v>
      </c>
      <c r="G59" s="61">
        <v>33.82</v>
      </c>
      <c r="H59" s="61">
        <v>33.6</v>
      </c>
      <c r="I59" s="61">
        <v>34.06</v>
      </c>
      <c r="J59" s="61">
        <v>33.880000000000003</v>
      </c>
      <c r="K59" s="61">
        <v>33.880000000000003</v>
      </c>
      <c r="L59" s="61">
        <v>34.6</v>
      </c>
    </row>
    <row r="60" spans="1:12" x14ac:dyDescent="0.25">
      <c r="A60" t="s">
        <v>189</v>
      </c>
      <c r="B60" t="s">
        <v>158</v>
      </c>
      <c r="C60">
        <v>3</v>
      </c>
      <c r="D60" t="s">
        <v>174</v>
      </c>
      <c r="E60">
        <v>1.3</v>
      </c>
      <c r="F60" s="60">
        <v>1.4500000000000001E-2</v>
      </c>
      <c r="G60">
        <v>35.97</v>
      </c>
      <c r="H60">
        <v>35.89</v>
      </c>
      <c r="I60">
        <v>36.130000000000003</v>
      </c>
      <c r="J60">
        <v>34.35</v>
      </c>
      <c r="K60">
        <v>34.340000000000003</v>
      </c>
      <c r="L60">
        <v>35.14</v>
      </c>
    </row>
    <row r="61" spans="1:12" x14ac:dyDescent="0.25">
      <c r="A61" t="s">
        <v>189</v>
      </c>
      <c r="B61" t="s">
        <v>158</v>
      </c>
      <c r="C61">
        <v>3</v>
      </c>
      <c r="D61" t="s">
        <v>174</v>
      </c>
      <c r="E61">
        <v>1.3</v>
      </c>
      <c r="F61" s="60">
        <v>1.4500000000000001E-2</v>
      </c>
      <c r="G61">
        <v>35.97</v>
      </c>
      <c r="H61">
        <v>35.89</v>
      </c>
      <c r="I61">
        <v>36.130000000000003</v>
      </c>
      <c r="J61">
        <v>34.909999999999997</v>
      </c>
      <c r="K61">
        <v>34.340000000000003</v>
      </c>
      <c r="L61">
        <v>35.14</v>
      </c>
    </row>
    <row r="62" spans="1:12" x14ac:dyDescent="0.25">
      <c r="A62" t="s">
        <v>190</v>
      </c>
      <c r="B62" t="s">
        <v>158</v>
      </c>
      <c r="C62">
        <v>3</v>
      </c>
      <c r="D62" t="s">
        <v>174</v>
      </c>
      <c r="E62">
        <v>1.59</v>
      </c>
      <c r="F62" s="60">
        <v>8.6400000000000001E-3</v>
      </c>
      <c r="G62">
        <v>35.19</v>
      </c>
      <c r="H62">
        <v>34.96</v>
      </c>
      <c r="I62">
        <v>35.33</v>
      </c>
      <c r="J62">
        <v>34.68</v>
      </c>
      <c r="K62">
        <v>34.42</v>
      </c>
      <c r="L62">
        <v>34.83</v>
      </c>
    </row>
    <row r="63" spans="1:12" x14ac:dyDescent="0.25">
      <c r="A63" t="s">
        <v>190</v>
      </c>
      <c r="B63" t="s">
        <v>158</v>
      </c>
      <c r="C63">
        <v>3</v>
      </c>
      <c r="D63" t="s">
        <v>174</v>
      </c>
      <c r="E63">
        <v>1.59</v>
      </c>
      <c r="F63" s="60">
        <v>8.6400000000000001E-3</v>
      </c>
      <c r="G63">
        <v>34.96</v>
      </c>
      <c r="H63">
        <v>34.96</v>
      </c>
      <c r="I63">
        <v>35.33</v>
      </c>
      <c r="J63">
        <v>34.619999999999997</v>
      </c>
      <c r="K63">
        <v>34.42</v>
      </c>
      <c r="L63">
        <v>34.83</v>
      </c>
    </row>
    <row r="64" spans="1:12" s="61" customFormat="1" x14ac:dyDescent="0.25">
      <c r="A64" s="61" t="s">
        <v>191</v>
      </c>
      <c r="B64" s="61" t="s">
        <v>158</v>
      </c>
      <c r="C64" s="61">
        <v>3</v>
      </c>
      <c r="D64" s="61" t="s">
        <v>164</v>
      </c>
      <c r="E64" s="61">
        <v>2.23</v>
      </c>
      <c r="F64" s="62">
        <v>2.1800000000000001E-3</v>
      </c>
      <c r="G64" s="61">
        <v>34.090000000000003</v>
      </c>
      <c r="H64" s="61">
        <v>33.9</v>
      </c>
      <c r="I64" s="61">
        <v>34.4</v>
      </c>
      <c r="J64" s="61">
        <v>34.22</v>
      </c>
      <c r="K64" s="61">
        <v>34.21</v>
      </c>
      <c r="L64" s="61">
        <v>34.86</v>
      </c>
    </row>
    <row r="65" spans="1:12" s="61" customFormat="1" x14ac:dyDescent="0.25">
      <c r="A65" s="61" t="s">
        <v>191</v>
      </c>
      <c r="B65" s="61" t="s">
        <v>158</v>
      </c>
      <c r="C65" s="61">
        <v>3</v>
      </c>
      <c r="D65" s="61" t="s">
        <v>164</v>
      </c>
      <c r="E65" s="61">
        <v>2.23</v>
      </c>
      <c r="F65" s="62">
        <v>2.1800000000000001E-3</v>
      </c>
      <c r="G65" s="61">
        <v>34.340000000000003</v>
      </c>
      <c r="H65" s="61">
        <v>33.9</v>
      </c>
      <c r="I65" s="61">
        <v>34.4</v>
      </c>
      <c r="J65" s="61">
        <v>34.68</v>
      </c>
      <c r="K65" s="61">
        <v>34.21</v>
      </c>
      <c r="L65" s="61">
        <v>34.86</v>
      </c>
    </row>
    <row r="66" spans="1:12" x14ac:dyDescent="0.25">
      <c r="A66" t="s">
        <v>192</v>
      </c>
      <c r="B66" t="s">
        <v>158</v>
      </c>
      <c r="C66">
        <v>3</v>
      </c>
      <c r="D66" t="s">
        <v>174</v>
      </c>
      <c r="E66">
        <v>0.87</v>
      </c>
      <c r="F66" s="60">
        <v>2.76E-2</v>
      </c>
      <c r="G66">
        <v>36.79</v>
      </c>
      <c r="H66">
        <v>36.51</v>
      </c>
      <c r="I66">
        <v>36.950000000000003</v>
      </c>
      <c r="J66">
        <v>34.450000000000003</v>
      </c>
      <c r="K66">
        <v>34.450000000000003</v>
      </c>
      <c r="L66">
        <v>35.270000000000003</v>
      </c>
    </row>
    <row r="67" spans="1:12" x14ac:dyDescent="0.25">
      <c r="A67" t="s">
        <v>192</v>
      </c>
      <c r="B67" t="s">
        <v>158</v>
      </c>
      <c r="C67">
        <v>3</v>
      </c>
      <c r="D67" t="s">
        <v>174</v>
      </c>
      <c r="E67">
        <v>0.87</v>
      </c>
      <c r="F67" s="60">
        <v>2.76E-2</v>
      </c>
      <c r="G67">
        <v>36.89</v>
      </c>
      <c r="H67">
        <v>36.51</v>
      </c>
      <c r="I67">
        <v>36.950000000000003</v>
      </c>
      <c r="J67">
        <v>34.99</v>
      </c>
      <c r="K67">
        <v>34.450000000000003</v>
      </c>
      <c r="L67">
        <v>35.270000000000003</v>
      </c>
    </row>
  </sheetData>
  <mergeCells count="2">
    <mergeCell ref="B1:E1"/>
    <mergeCell ref="G1:J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Met-free sequences</vt:lpstr>
      <vt:lpstr>Met-containing sequences</vt:lpstr>
      <vt:lpstr>Peptide statistics</vt:lpstr>
      <vt:lpstr>Protein statistics</vt:lpstr>
      <vt:lpstr>Copies per cell</vt:lpstr>
      <vt:lpstr>Transitions</vt:lpstr>
      <vt:lpstr>missed cleavage MEG8.2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Xavier Neves</dc:creator>
  <cp:keywords>Skyline output</cp:keywords>
  <cp:lastModifiedBy>Leandro Xavier Neves</cp:lastModifiedBy>
  <cp:lastPrinted>2018-01-13T19:35:25Z</cp:lastPrinted>
  <dcterms:created xsi:type="dcterms:W3CDTF">2017-11-30T19:36:54Z</dcterms:created>
  <dcterms:modified xsi:type="dcterms:W3CDTF">2019-08-01T11:46:17Z</dcterms:modified>
</cp:coreProperties>
</file>